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W:\Magasepites\Balaton Airport\01. Megrendelő\01_Generál szerződés\02_Szerződés módosítás_Mellékletek\2-3. sz szerződés módosítás\3.sz.szm\Végleges_20250716\"/>
    </mc:Choice>
  </mc:AlternateContent>
  <xr:revisionPtr revIDLastSave="0" documentId="13_ncr:1_{9974C48F-8420-4627-81DD-62C92E722813}" xr6:coauthVersionLast="47" xr6:coauthVersionMax="47" xr10:uidLastSave="{00000000-0000-0000-0000-000000000000}"/>
  <bookViews>
    <workbookView xWindow="-96" yWindow="-96" windowWidth="23232" windowHeight="12696" tabRatio="898" xr2:uid="{00000000-000D-0000-FFFF-FFFF00000000}"/>
  </bookViews>
  <sheets>
    <sheet name="Összesítő" sheetId="15" r:id="rId1"/>
    <sheet name="VI. Futópálya kiegészítő mu" sheetId="13" r:id="rId2"/>
    <sheet name="VII. Futópálya amortizáció" sheetId="16" r:id="rId3"/>
    <sheet name="2. GURULÓÚT alap költségvetés" sheetId="17" r:id="rId4"/>
  </sheets>
  <definedNames>
    <definedName name="_1Excel_BuiltIn_Print_Area_1_1">#REF!</definedName>
    <definedName name="_5x1.5">#REF!</definedName>
    <definedName name="Excel_BuiltIn_Print_Area_1_1">#REF!</definedName>
    <definedName name="_xlnm.Print_Area" localSheetId="3">'2. GURULÓÚT alap költségvetés'!$A$1:$J$25</definedName>
    <definedName name="_xlnm.Print_Area" localSheetId="0">Összesítő!$A$1:$I$27</definedName>
    <definedName name="_xlnm.Print_Area" localSheetId="1">'VI. Futópálya kiegészítő mu'!$A$1:$L$65</definedName>
    <definedName name="_xlnm.Print_Area" localSheetId="2">'VII. Futópálya amortizáció'!$A$1:$L$44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13" l="1"/>
  <c r="E34" i="16"/>
  <c r="I34" i="16" s="1"/>
  <c r="E32" i="16"/>
  <c r="I32" i="16" s="1"/>
  <c r="E31" i="16"/>
  <c r="J31" i="16" s="1"/>
  <c r="E30" i="16"/>
  <c r="J30" i="16" s="1"/>
  <c r="E27" i="16"/>
  <c r="J27" i="16" s="1"/>
  <c r="E25" i="16"/>
  <c r="I25" i="16" s="1"/>
  <c r="E36" i="16"/>
  <c r="I36" i="16" s="1"/>
  <c r="E35" i="16"/>
  <c r="I35" i="16" s="1"/>
  <c r="G15" i="16"/>
  <c r="H37" i="16"/>
  <c r="J37" i="16" s="1"/>
  <c r="E26" i="16"/>
  <c r="J26" i="16" s="1"/>
  <c r="E33" i="16"/>
  <c r="J33" i="16" s="1"/>
  <c r="E29" i="16"/>
  <c r="E28" i="16"/>
  <c r="I28" i="16" s="1"/>
  <c r="H18" i="16"/>
  <c r="E24" i="16"/>
  <c r="J24" i="16" s="1"/>
  <c r="I37" i="16"/>
  <c r="J29" i="16"/>
  <c r="I29" i="16"/>
  <c r="J28" i="16" l="1"/>
  <c r="I33" i="16"/>
  <c r="J34" i="16"/>
  <c r="J25" i="16"/>
  <c r="I26" i="16"/>
  <c r="J35" i="16"/>
  <c r="I27" i="16"/>
  <c r="I30" i="16"/>
  <c r="I31" i="16"/>
  <c r="J36" i="16"/>
  <c r="J32" i="16"/>
  <c r="I24" i="16"/>
  <c r="I23" i="16" l="1"/>
  <c r="J23" i="16"/>
  <c r="I38" i="16"/>
  <c r="I40" i="16" s="1"/>
  <c r="D21" i="15" s="1"/>
  <c r="F21" i="15" s="1"/>
  <c r="J38" i="16"/>
  <c r="J40" i="16" s="1"/>
  <c r="E21" i="15" s="1"/>
  <c r="I43" i="16"/>
  <c r="I41" i="16" l="1"/>
  <c r="G21" i="15"/>
  <c r="H14" i="13" l="1"/>
  <c r="J14" i="13" s="1"/>
  <c r="K14" i="13" s="1"/>
  <c r="I14" i="13"/>
  <c r="E13" i="13"/>
  <c r="J13" i="13" s="1"/>
  <c r="J12" i="13"/>
  <c r="I12" i="13"/>
  <c r="K12" i="13" l="1"/>
  <c r="I13" i="13"/>
  <c r="K13" i="13" s="1"/>
  <c r="H19" i="17" l="1"/>
  <c r="I19" i="17"/>
  <c r="J52" i="13"/>
  <c r="I52" i="13"/>
  <c r="K52" i="13" l="1"/>
  <c r="H20" i="17" l="1"/>
  <c r="I20" i="17"/>
  <c r="I18" i="17"/>
  <c r="H18" i="17"/>
  <c r="I17" i="17"/>
  <c r="H17" i="17"/>
  <c r="I16" i="17"/>
  <c r="H16" i="17"/>
  <c r="I15" i="17"/>
  <c r="H15" i="17"/>
  <c r="I14" i="17"/>
  <c r="H14" i="17"/>
  <c r="I13" i="17"/>
  <c r="H13" i="17"/>
  <c r="I12" i="17"/>
  <c r="H12" i="17"/>
  <c r="I11" i="17"/>
  <c r="H11" i="17"/>
  <c r="I10" i="17"/>
  <c r="H10" i="17"/>
  <c r="I9" i="17"/>
  <c r="H9" i="17"/>
  <c r="I8" i="17"/>
  <c r="H8" i="17"/>
  <c r="I7" i="17"/>
  <c r="H7" i="17"/>
  <c r="H6" i="17" l="1"/>
  <c r="I6" i="17"/>
  <c r="I21" i="17"/>
  <c r="H21" i="17"/>
  <c r="H23" i="17" s="1"/>
  <c r="H24" i="17" s="1"/>
  <c r="I6" i="13" l="1"/>
  <c r="J6" i="13"/>
  <c r="I7" i="13"/>
  <c r="J7" i="13"/>
  <c r="I8" i="13"/>
  <c r="J8" i="13"/>
  <c r="I9" i="13"/>
  <c r="J9" i="13"/>
  <c r="I10" i="13"/>
  <c r="J10" i="13"/>
  <c r="I11" i="13"/>
  <c r="J11" i="13"/>
  <c r="J5" i="13"/>
  <c r="I5" i="13"/>
  <c r="I15" i="13" l="1"/>
  <c r="J15" i="13"/>
  <c r="K9" i="13"/>
  <c r="K5" i="13"/>
  <c r="K7" i="13"/>
  <c r="K10" i="13"/>
  <c r="K6" i="13"/>
  <c r="K11" i="13"/>
  <c r="K8" i="13"/>
  <c r="K15" i="13" l="1"/>
  <c r="J12" i="16"/>
  <c r="I12" i="16"/>
  <c r="J9" i="16"/>
  <c r="I9" i="16"/>
  <c r="J6" i="16"/>
  <c r="I6" i="16"/>
  <c r="C2" i="16"/>
  <c r="K9" i="16" l="1"/>
  <c r="K12" i="16"/>
  <c r="I13" i="16"/>
  <c r="I2" i="16" s="1"/>
  <c r="D20" i="15" s="1"/>
  <c r="D22" i="15" s="1"/>
  <c r="J13" i="16"/>
  <c r="J2" i="16" s="1"/>
  <c r="E20" i="15" s="1"/>
  <c r="E22" i="15" s="1"/>
  <c r="K6" i="16"/>
  <c r="F20" i="15" l="1"/>
  <c r="K13" i="16"/>
  <c r="K2" i="16"/>
  <c r="F22" i="15" l="1"/>
  <c r="G20" i="15"/>
  <c r="K15" i="16"/>
  <c r="J18" i="16" s="1"/>
  <c r="I22" i="13"/>
  <c r="C46" i="13"/>
  <c r="C2" i="13"/>
  <c r="C3" i="13"/>
  <c r="J50" i="13"/>
  <c r="J56" i="13"/>
  <c r="I55" i="13"/>
  <c r="J55" i="13"/>
  <c r="I62" i="13"/>
  <c r="J62" i="13"/>
  <c r="I63" i="13"/>
  <c r="J63" i="13"/>
  <c r="I58" i="13"/>
  <c r="J58" i="13"/>
  <c r="I59" i="13"/>
  <c r="J59" i="13"/>
  <c r="I60" i="13"/>
  <c r="J60" i="13"/>
  <c r="I61" i="13"/>
  <c r="J61" i="13"/>
  <c r="I54" i="13"/>
  <c r="J54" i="13"/>
  <c r="I56" i="13"/>
  <c r="J57" i="13"/>
  <c r="I57" i="13"/>
  <c r="I33" i="13"/>
  <c r="J33" i="13"/>
  <c r="I34" i="13"/>
  <c r="J34" i="13"/>
  <c r="I35" i="13"/>
  <c r="J35" i="13"/>
  <c r="I36" i="13"/>
  <c r="J36" i="13"/>
  <c r="I37" i="13"/>
  <c r="J37" i="13"/>
  <c r="I38" i="13"/>
  <c r="J38" i="13"/>
  <c r="I39" i="13"/>
  <c r="J39" i="13"/>
  <c r="I40" i="13"/>
  <c r="J40" i="13"/>
  <c r="I41" i="13"/>
  <c r="J41" i="13"/>
  <c r="I42" i="13"/>
  <c r="J42" i="13"/>
  <c r="I43" i="13"/>
  <c r="J43" i="13"/>
  <c r="J32" i="13"/>
  <c r="J22" i="13"/>
  <c r="J49" i="13"/>
  <c r="I49" i="13"/>
  <c r="J71" i="13"/>
  <c r="I71" i="13"/>
  <c r="J70" i="13"/>
  <c r="I70" i="13"/>
  <c r="J79" i="13"/>
  <c r="I79" i="13"/>
  <c r="J78" i="13"/>
  <c r="I78" i="13"/>
  <c r="J77" i="13"/>
  <c r="I77" i="13"/>
  <c r="J76" i="13"/>
  <c r="I76" i="13"/>
  <c r="J75" i="13"/>
  <c r="I75" i="13"/>
  <c r="K16" i="16" l="1"/>
  <c r="J64" i="13"/>
  <c r="E13" i="15" s="1"/>
  <c r="J44" i="13"/>
  <c r="K59" i="13"/>
  <c r="I50" i="13"/>
  <c r="K54" i="13"/>
  <c r="K55" i="13"/>
  <c r="K62" i="13"/>
  <c r="K58" i="13"/>
  <c r="K60" i="13"/>
  <c r="K57" i="13"/>
  <c r="K61" i="13"/>
  <c r="K63" i="13"/>
  <c r="K49" i="13"/>
  <c r="I73" i="13"/>
  <c r="J73" i="13"/>
  <c r="I64" i="13" l="1"/>
  <c r="K56" i="13"/>
  <c r="K53" i="13" s="1"/>
  <c r="E10" i="15"/>
  <c r="I32" i="13"/>
  <c r="I44" i="13" s="1"/>
  <c r="D13" i="15" l="1"/>
  <c r="F13" i="15" s="1"/>
  <c r="K64" i="13"/>
  <c r="K50" i="13"/>
  <c r="K48" i="13" s="1"/>
  <c r="E12" i="15" l="1"/>
  <c r="D12" i="15"/>
  <c r="K35" i="13"/>
  <c r="K42" i="13"/>
  <c r="K38" i="13"/>
  <c r="K37" i="13"/>
  <c r="K41" i="13"/>
  <c r="K34" i="13"/>
  <c r="K40" i="13"/>
  <c r="K33" i="13"/>
  <c r="K36" i="13"/>
  <c r="K39" i="13"/>
  <c r="K43" i="13"/>
  <c r="K32" i="13"/>
  <c r="F12" i="15" l="1"/>
  <c r="K44" i="13"/>
  <c r="I24" i="13"/>
  <c r="K24" i="13" s="1"/>
  <c r="J26" i="13"/>
  <c r="I26" i="13"/>
  <c r="K26" i="13" l="1"/>
  <c r="C17" i="13" l="1"/>
  <c r="E27" i="13" l="1"/>
  <c r="E25" i="13"/>
  <c r="J21" i="13"/>
  <c r="I21" i="13"/>
  <c r="J20" i="13"/>
  <c r="I20" i="13"/>
  <c r="D17" i="13"/>
  <c r="I25" i="13" l="1"/>
  <c r="J25" i="13"/>
  <c r="J27" i="13"/>
  <c r="I27" i="13"/>
  <c r="K22" i="13"/>
  <c r="K21" i="13"/>
  <c r="K20" i="13"/>
  <c r="J28" i="13" l="1"/>
  <c r="I28" i="13"/>
  <c r="I2" i="13" s="1"/>
  <c r="K27" i="13"/>
  <c r="K25" i="13"/>
  <c r="D11" i="15" l="1"/>
  <c r="E11" i="15"/>
  <c r="J2" i="13"/>
  <c r="K28" i="13"/>
  <c r="E9" i="15" l="1"/>
  <c r="E16" i="15"/>
  <c r="E24" i="15" s="1"/>
  <c r="F11" i="15"/>
  <c r="D10" i="15"/>
  <c r="F10" i="15" l="1"/>
  <c r="D16" i="15"/>
  <c r="D24" i="15" s="1"/>
  <c r="F9" i="15"/>
  <c r="F16" i="15" s="1"/>
  <c r="F24" i="15" s="1"/>
  <c r="D9" i="15"/>
  <c r="K2" i="13"/>
  <c r="F25" i="15" l="1"/>
  <c r="F26" i="15" s="1"/>
  <c r="G9" i="15"/>
  <c r="G16" i="15" s="1"/>
</calcChain>
</file>

<file path=xl/sharedStrings.xml><?xml version="1.0" encoding="utf-8"?>
<sst xmlns="http://schemas.openxmlformats.org/spreadsheetml/2006/main" count="472" uniqueCount="192">
  <si>
    <t>8380 Hévíz, Kossuth L. U. 1.</t>
  </si>
  <si>
    <t>Fejezetek megnevezése</t>
  </si>
  <si>
    <t>Anyag összesen</t>
  </si>
  <si>
    <t>Díj összesen</t>
  </si>
  <si>
    <t>Anyag és díj összesen</t>
  </si>
  <si>
    <t>1.</t>
  </si>
  <si>
    <t>ÁFA tartalom (27%):</t>
  </si>
  <si>
    <t>2.</t>
  </si>
  <si>
    <t>3.</t>
  </si>
  <si>
    <t>4.</t>
  </si>
  <si>
    <t>5.</t>
  </si>
  <si>
    <t>6.</t>
  </si>
  <si>
    <t>7.</t>
  </si>
  <si>
    <t>8.</t>
  </si>
  <si>
    <t>9.</t>
  </si>
  <si>
    <t>Sorszám</t>
  </si>
  <si>
    <t>Tétel megnevezés</t>
  </si>
  <si>
    <t>Mennyiség</t>
  </si>
  <si>
    <t>Egység</t>
  </si>
  <si>
    <t>Anyag egységár</t>
  </si>
  <si>
    <t>Díj egységár</t>
  </si>
  <si>
    <t>m2</t>
  </si>
  <si>
    <t>klt</t>
  </si>
  <si>
    <t>db</t>
  </si>
  <si>
    <t>fm</t>
  </si>
  <si>
    <t>m3</t>
  </si>
  <si>
    <t>Elmaradó</t>
  </si>
  <si>
    <t>Elektromos munkák:</t>
  </si>
  <si>
    <t>Megjegyzés:</t>
  </si>
  <si>
    <t>Összesen</t>
  </si>
  <si>
    <t>Hévíz – Balaton Airport infrastrukturális karbantartás és fejlesztés</t>
  </si>
  <si>
    <r>
      <t xml:space="preserve">Hézagok takarítása tömítő polimer szalag elhelyezése és a </t>
    </r>
    <r>
      <rPr>
        <b/>
        <i/>
        <sz val="12"/>
        <rFont val="Aptos Narrow"/>
        <family val="2"/>
        <scheme val="minor"/>
      </rPr>
      <t>bitumenes kitöltés</t>
    </r>
    <r>
      <rPr>
        <i/>
        <sz val="12"/>
        <rFont val="Aptos Narrow"/>
        <family val="2"/>
        <scheme val="minor"/>
      </rPr>
      <t xml:space="preserve"> elhelyezése</t>
    </r>
  </si>
  <si>
    <t>Dilatáció képzés:</t>
  </si>
  <si>
    <t>Betontábla azonosítószámok javítása, beton felület előkészítésével, műgyanta kiöntéssel.</t>
  </si>
  <si>
    <t>Bazaltbeton pályaszerkezet bontása (25-27cm vastagságban) beton vágással együtt, a felmért letörések javításánál!</t>
  </si>
  <si>
    <t>Bazaltbeton pályaszerkezet Lyukak javítása. kitöltéssel Polysulfid 2K (Eurolastic)kitöltöanyaggal. (felmérési)</t>
  </si>
  <si>
    <t>Keresztirányú hézagok képzése 8 cm mély marással, opcionális élfozólással (80%-a a meglévőnek)</t>
  </si>
  <si>
    <t>Meglévő bazaltbeton pályaszerkezeti táblák  szintbeli csatlakozások csiszolása (+-15 mm vastagságig), marási irány figyelembevételével (előirányzat)</t>
  </si>
  <si>
    <t>Összes költség (Bruttó):</t>
  </si>
  <si>
    <r>
      <t>Meglévő bazaltbeton pályaszerkezeti táblák nagyobb letöréseinek (0,25 m2-nél nagyobbak) javítása, 2 komponensű betonfelülethez kiváló tapadást biztosító műgyantával vagy cement bázisú anyaggal.
(</t>
    </r>
    <r>
      <rPr>
        <b/>
        <sz val="12"/>
        <rFont val="Aptos Narrow"/>
        <family val="2"/>
        <scheme val="minor"/>
      </rPr>
      <t xml:space="preserve">Eurepair pc 96 </t>
    </r>
    <r>
      <rPr>
        <sz val="12"/>
        <rFont val="Aptos Narrow"/>
        <family val="2"/>
        <scheme val="minor"/>
      </rPr>
      <t>nevű műgyanta alkalmazása, nemzetközi repülőtereken jóváhagyott anyag, BUD, Debrecen)</t>
    </r>
  </si>
  <si>
    <t>Fedezett Biztosított</t>
  </si>
  <si>
    <t>Helyettesítő</t>
  </si>
  <si>
    <t>Pót</t>
  </si>
  <si>
    <t>klts</t>
  </si>
  <si>
    <t>Hosszirányú hézagok felújítása</t>
  </si>
  <si>
    <t>m</t>
  </si>
  <si>
    <t>Elmaradó anyag</t>
  </si>
  <si>
    <t>YSLY 2x4 mm2 szekunder kábel cseréje fényelem és Tr. között, előkészített fugában (40 fm / fényelem) 85 db fényelemnél</t>
  </si>
  <si>
    <t>Fényelem alaptest előkészítése új kábel bekötéshez alaptest oldal fúrással</t>
  </si>
  <si>
    <t>Fényelem alaptest kábelbevezetés vízszigetelése</t>
  </si>
  <si>
    <t>Szekunder kábelcsatlakozó szerelése KD. 501.2 trafónál</t>
  </si>
  <si>
    <t>Szekunder kábelcsatlakozó szerelése KD. 502.2 fényelem alaptestnél</t>
  </si>
  <si>
    <t>Szekunder kábelcsatlakozó szerelése KD. 503.1 fényelemnél</t>
  </si>
  <si>
    <t>Középvonal fényelemek szigetelő gumi cseréje karbantartást követően (kötelezően előírt művelet)</t>
  </si>
  <si>
    <t>AC-FAT alaptest fedéltömítő gumi cseréje (kötelező művelet)</t>
  </si>
  <si>
    <t>Fényelem alaptesthez (AC-FAT) vezető aszfalt padkába eső részre lépésálló védőcső telepítés Ø 25 mm méretben, 3m hosszúságban 85 db</t>
  </si>
  <si>
    <t>Organizációs költségek</t>
  </si>
  <si>
    <t>alk</t>
  </si>
  <si>
    <t>Heti átadásokat követő próbaüzem</t>
  </si>
  <si>
    <t>10.</t>
  </si>
  <si>
    <t>11.</t>
  </si>
  <si>
    <t>12.</t>
  </si>
  <si>
    <t>Fuga képzések:</t>
  </si>
  <si>
    <t>5.5</t>
  </si>
  <si>
    <t>Felfestés készítése</t>
  </si>
  <si>
    <t>5. FUTÓPÁLYA</t>
  </si>
  <si>
    <t>5.1</t>
  </si>
  <si>
    <t>Keresztirányú hézagok képzése 8 cm mély marással, opciónáis élfozólással (80%-a a meglévőnek)</t>
  </si>
  <si>
    <t>5.2</t>
  </si>
  <si>
    <t>Keresztirányú hézagok képzése 8 cm mély marással, opciónáis élfozólással</t>
  </si>
  <si>
    <t>5.3</t>
  </si>
  <si>
    <t>Hézagok takarítása tömítő polimer szalag elhelyezése és a bitumenes kitöltés elhelyezése</t>
  </si>
  <si>
    <t>5.4</t>
  </si>
  <si>
    <t>2.12</t>
  </si>
  <si>
    <t>Hézagképzés 5,0-5,0 m betontábla kialakítása</t>
  </si>
  <si>
    <t>2.14</t>
  </si>
  <si>
    <t xml:space="preserve">Utasítást adó és információs táblák elhelyezése és felfestés készítése </t>
  </si>
  <si>
    <t>klt.</t>
  </si>
  <si>
    <t>2. TWY A3 GURULÓÚT</t>
  </si>
  <si>
    <t>SZERZŐDÉSES TÉTELEK ÉS EGYSÉGÁRAK</t>
  </si>
  <si>
    <t>Gurul út polimer fúga kitöltés</t>
  </si>
  <si>
    <r>
      <t xml:space="preserve">Hézag képzése  5,0-5,0 m betontábla kialakítása 5 cm mély marással,  fózolással, kitöltéssel </t>
    </r>
    <r>
      <rPr>
        <b/>
        <sz val="12"/>
        <rFont val="Aptos Narrow"/>
        <family val="2"/>
        <scheme val="minor"/>
      </rPr>
      <t>Polysulfid 2K (Eurolastic)</t>
    </r>
    <r>
      <rPr>
        <sz val="12"/>
        <rFont val="Aptos Narrow"/>
        <family val="2"/>
        <scheme val="minor"/>
      </rPr>
      <t xml:space="preserve">kitöltöanyaggal. </t>
    </r>
    <r>
      <rPr>
        <b/>
        <u/>
        <sz val="12"/>
        <rFont val="Aptos Narrow"/>
        <family val="2"/>
        <scheme val="minor"/>
      </rPr>
      <t>(csak anyag)</t>
    </r>
  </si>
  <si>
    <r>
      <t xml:space="preserve">Kereszt irányú hézag képzése 5 cm mély marással,  fózolással, kitöltéssel </t>
    </r>
    <r>
      <rPr>
        <b/>
        <sz val="12"/>
        <rFont val="Aptos Narrow"/>
        <family val="2"/>
        <scheme val="minor"/>
      </rPr>
      <t>Polysulfid 2K (Eurolastic)</t>
    </r>
    <r>
      <rPr>
        <sz val="12"/>
        <rFont val="Aptos Narrow"/>
        <family val="2"/>
        <scheme val="minor"/>
      </rPr>
      <t xml:space="preserve">kitöltöanyaggal. </t>
    </r>
    <r>
      <rPr>
        <b/>
        <u/>
        <sz val="12"/>
        <rFont val="Aptos Narrow"/>
        <family val="2"/>
        <scheme val="minor"/>
      </rPr>
      <t>(csak anyag)</t>
    </r>
  </si>
  <si>
    <t>Futópálya közvilágítás átvágások miatti újraépítése, újra kábelezése (meglévő gerincről leállások pályaszerkezetben)</t>
  </si>
  <si>
    <r>
      <t xml:space="preserve">Hossz irányú hézag képzése 5 cm mély marással,  fózolással, kitöltéssel </t>
    </r>
    <r>
      <rPr>
        <b/>
        <sz val="12"/>
        <rFont val="Aptos Narrow"/>
        <family val="2"/>
        <scheme val="minor"/>
      </rPr>
      <t>Polysulfid 2K (Eurolastic)</t>
    </r>
    <r>
      <rPr>
        <sz val="12"/>
        <rFont val="Aptos Narrow"/>
        <family val="2"/>
        <scheme val="minor"/>
      </rPr>
      <t xml:space="preserve"> kitöltöanyaggal.</t>
    </r>
  </si>
  <si>
    <t>Burkolati jelek (új) oldószeres festése sárga színnel, géppel 2 rétegben</t>
  </si>
  <si>
    <t>Burkolati jelek (új) oldószeres festése fehér színnel, kézzel 2 rétegben</t>
  </si>
  <si>
    <t>Burkolati jelek (új) oldószeres festése sárga színnel, kézzel 2 rétegben</t>
  </si>
  <si>
    <t>Burkolati jelek (új) oldószeres festése fekete színnel géppel 2 rétegben</t>
  </si>
  <si>
    <t>Burkolati jelek (új) oldószeres festése piros színnel kézzel 2 rétegben</t>
  </si>
  <si>
    <t>Burkolati felület (új) előkészítése illetve régi burkolati jelek eltávolítása (magas nyomású mosóval )</t>
  </si>
  <si>
    <t>Burkolati felület pormentesítés, kefés vizes tisztítás festés előtt</t>
  </si>
  <si>
    <t>Burkolati jel eltávolítása magas nyomású mosóval (X - Lezárt gurulóút jelzések)</t>
  </si>
  <si>
    <t>Burkolati jelek oldószeres festése géppel sárga színnel 2 rétegben (G jelű gurulóút)</t>
  </si>
  <si>
    <t>Burkolati jelek oldószeres (felújító) festése sárga színnel, kézzel 2 rétegben (G jelű gurulóút várakozási hely felfestése)</t>
  </si>
  <si>
    <t>Guruló út meglévő szakasz újrafestése</t>
  </si>
  <si>
    <t>Gurul út középfény előkészítése</t>
  </si>
  <si>
    <r>
      <t xml:space="preserve">Terjeszkedési hézag képzése </t>
    </r>
    <r>
      <rPr>
        <b/>
        <sz val="12"/>
        <rFont val="Aptos Narrow"/>
        <family val="2"/>
        <scheme val="minor"/>
      </rPr>
      <t>100 m távolságban 20 mm szélesen és a 130 mm</t>
    </r>
    <r>
      <rPr>
        <sz val="12"/>
        <rFont val="Aptos Narrow"/>
        <family val="2"/>
        <scheme val="minor"/>
      </rPr>
      <t xml:space="preserve"> mély beton marással fozolt éllel </t>
    </r>
    <r>
      <rPr>
        <b/>
        <sz val="12"/>
        <rFont val="Aptos Narrow"/>
        <family val="2"/>
        <scheme val="minor"/>
      </rPr>
      <t>Polysulfid 2K (Eurolastic)</t>
    </r>
    <r>
      <rPr>
        <sz val="12"/>
        <rFont val="Aptos Narrow"/>
        <family val="2"/>
        <scheme val="minor"/>
      </rPr>
      <t xml:space="preserve"> kitöltöanyaggal. (az anyagszükséglet a hossz-, és keresztirányú hézagokhoz képest többletet jelent kb 2.5-szörös arányban)</t>
    </r>
  </si>
  <si>
    <t>Helyettesítő anyag</t>
  </si>
  <si>
    <t>VI.</t>
  </si>
  <si>
    <t>Többletköltségek ÖSSZESÍTŐ -2025.04.01.</t>
  </si>
  <si>
    <t>Menny</t>
  </si>
  <si>
    <t>m.e.</t>
  </si>
  <si>
    <t>Guruló út fajlagos bekerülési klts   (szabályos négyzet tábla)</t>
  </si>
  <si>
    <t>TWY A3 GURULÓÚT</t>
  </si>
  <si>
    <t>2.1</t>
  </si>
  <si>
    <t>Gurulóút aszfaltos része és Apron A3 részterület bontása</t>
  </si>
  <si>
    <t>2.2</t>
  </si>
  <si>
    <t>Bontott anyag darálása</t>
  </si>
  <si>
    <t>2.3</t>
  </si>
  <si>
    <t>Bevágás készítése guruló út alatt</t>
  </si>
  <si>
    <t>2.4</t>
  </si>
  <si>
    <t>Kitermelt föld elszállítása 5 km-en belül</t>
  </si>
  <si>
    <t>2.5</t>
  </si>
  <si>
    <t>Altalaj tömörítése</t>
  </si>
  <si>
    <t>2.6</t>
  </si>
  <si>
    <t>Geotextil és georács terítése altalaj erősítésére
(200g/m2 geotextil és a min 15-15kN szakító szilárdságú georács)</t>
  </si>
  <si>
    <t>2.7</t>
  </si>
  <si>
    <t>25 cm vtg darált beton terítése tömörítése</t>
  </si>
  <si>
    <t>2.8</t>
  </si>
  <si>
    <t>25 cm ctg Ckt burkolat építése</t>
  </si>
  <si>
    <t>2.9</t>
  </si>
  <si>
    <t xml:space="preserve">Craft vágás ckt burkolat </t>
  </si>
  <si>
    <t>2.10</t>
  </si>
  <si>
    <t>Feszültség menetsitő HDA fólia terítése</t>
  </si>
  <si>
    <t>2.11</t>
  </si>
  <si>
    <t>32 cm CP 4/2,7 bazalt beton burkolat építése
(F20 teher átadó vasalattal)</t>
  </si>
  <si>
    <t>2.13</t>
  </si>
  <si>
    <t>Stabilizát biztonsági sáv padka építése 7 m 
(meszes cemntes talajstablizálás 15-20 cm mélyen 7 m szélesgében a TWY A3 guruló út déli oldalán)</t>
  </si>
  <si>
    <t>Összesen:</t>
  </si>
  <si>
    <t>Összes munkanem közvetlen költsége (Nettó Ft.)</t>
  </si>
  <si>
    <r>
      <t xml:space="preserve">Bazaltbeton pályaszerkezet bontása (25-27cm vastagságban) beton vágással együtt, </t>
    </r>
    <r>
      <rPr>
        <b/>
        <i/>
        <sz val="12"/>
        <rFont val="Aptos Narrow"/>
        <family val="2"/>
        <scheme val="minor"/>
      </rPr>
      <t>a felmért letörések javításánál!</t>
    </r>
  </si>
  <si>
    <t>2.Többlet</t>
  </si>
  <si>
    <t>4.Többlet</t>
  </si>
  <si>
    <t>5.Többlet</t>
  </si>
  <si>
    <t>Ismételt hibafelmérés (1 év elteltével állapotromlás felmérése)</t>
  </si>
  <si>
    <r>
      <t xml:space="preserve">Felületi meglévő repedések javítása, max 5 cm mély marással, kitöltéssel </t>
    </r>
    <r>
      <rPr>
        <b/>
        <sz val="12"/>
        <rFont val="Aptos Narrow"/>
        <family val="2"/>
        <scheme val="minor"/>
      </rPr>
      <t>Polysulfid 2K (Eurolastic)</t>
    </r>
    <r>
      <rPr>
        <sz val="12"/>
        <rFont val="Aptos Narrow"/>
        <family val="2"/>
        <scheme val="minor"/>
      </rPr>
      <t>kitöltöanyaggal.</t>
    </r>
  </si>
  <si>
    <t>Hézagképzés 5,0-5,0 m betontábla kialakítása (bitumenes)</t>
  </si>
  <si>
    <t>Középfény helyének előkészítése beton burkolatba (csak védőcsövezés)</t>
  </si>
  <si>
    <t>Felmérés óta eltelt időben keletkezett, tovább romlott hibák, újabb pontosított hibajegyek felmérése szakkivitelező által.</t>
  </si>
  <si>
    <t xml:space="preserve"> Gurul út -  dilatáció kitöltés polimer fuganyaggal, meglévő szakasz újrafestése, Középfény előkészítés</t>
  </si>
  <si>
    <t>Típus</t>
  </si>
  <si>
    <t xml:space="preserve"> Futópálya középfény kábelezés átvágások miatti újraépítése, újra kábelezése, bitumenes kitöltőanyag cseréje.</t>
  </si>
  <si>
    <t xml:space="preserve"> Futópálya és Gurulóút pályaszerkezeti hibák, új dilatációk, emelt műszaki tartalom többlet költségek:</t>
  </si>
  <si>
    <t xml:space="preserve">Munkaterület átvétel utáni teljeskörű feltárások és bemérések alapján letörések, repedések, síktól való eltérések javítása. </t>
  </si>
  <si>
    <t>Összes munkanem közvetlen költsége (ÁFA vetítési alap):</t>
  </si>
  <si>
    <t>Guruló út esetében is poliszulfid hézagkiöntő  anyaggal történik a dilatáció hézagkitöltése.</t>
  </si>
  <si>
    <t>A hossz és kereszt írányú dilatációs tábla vágások során, a meglévő középfény vezetékelése, és hézagkitöltésének cseréje szükséges.</t>
  </si>
  <si>
    <r>
      <t>Meglévő bazaltbeton pályaszerkezeti táblák nagyobb letöréseinek (0,25 m2-nél nagyobbak) javítása, (2 komponensű) betonfelülethez kiváló tapadást biztosító műgyantával vagy cement bázisú anyaggal.
(</t>
    </r>
    <r>
      <rPr>
        <b/>
        <sz val="12"/>
        <rFont val="Aptos Narrow"/>
        <family val="2"/>
        <scheme val="minor"/>
      </rPr>
      <t xml:space="preserve">Eurepair pc 96 </t>
    </r>
    <r>
      <rPr>
        <sz val="12"/>
        <rFont val="Aptos Narrow"/>
        <family val="2"/>
        <scheme val="minor"/>
      </rPr>
      <t>nevű műgyanta alkalmazása, nemzetközi repülőtereken jóváhagyott anyag, BUD, Debrecen)</t>
    </r>
  </si>
  <si>
    <t>Jóváhagyási klts</t>
  </si>
  <si>
    <t>Fenti számítás szerint, az átlagosan 5*5m=25m2 betonraszter pályaszerkezet alapján, elhagyásra kerül:</t>
  </si>
  <si>
    <t>Fajlagos pályaszerkezeti m2 ár kalkuláció:</t>
  </si>
  <si>
    <t>1m2-re vetítve:</t>
  </si>
  <si>
    <t>Összes gurulóút felület:</t>
  </si>
  <si>
    <t xml:space="preserve">  Felmért pályaszerkezeti hibák javítása, felújítása (2024)</t>
  </si>
  <si>
    <t>2024 márciusi felmérés alapján.</t>
  </si>
  <si>
    <r>
      <t xml:space="preserve">Fénytechnikai kábelek Kereszt irányú hézag képzése max 8 cm mély marással,  fózolással, dilatáció kitöltés </t>
    </r>
    <r>
      <rPr>
        <b/>
        <sz val="12"/>
        <rFont val="Aptos Narrow"/>
        <family val="2"/>
        <scheme val="minor"/>
      </rPr>
      <t xml:space="preserve">Polysulfid 2K (Eurolastic) </t>
    </r>
    <r>
      <rPr>
        <sz val="12"/>
        <rFont val="Aptos Narrow"/>
        <family val="2"/>
        <scheme val="minor"/>
      </rPr>
      <t>kitöltöanyaggal.</t>
    </r>
  </si>
  <si>
    <t xml:space="preserve"> átlagosan 5*5m=25m2 betonraszter pályaszerkezet alapján, elhagyásra kerül:</t>
  </si>
  <si>
    <t>Jóváhagyási költségvetés m2-re vetített fajlagos költsége kiszámítva 15 mezőre.</t>
  </si>
  <si>
    <t>Futópálya amortizáció - 2025 felmérési többletköltségek.</t>
  </si>
  <si>
    <t>SZERZŐDÉS MÓDOSÍTÁS : (nettó)</t>
  </si>
  <si>
    <t>VI/a</t>
  </si>
  <si>
    <t>VI/b</t>
  </si>
  <si>
    <t>VI/c</t>
  </si>
  <si>
    <t>VI/d</t>
  </si>
  <si>
    <t>VII.</t>
  </si>
  <si>
    <t>VII./1</t>
  </si>
  <si>
    <t>Meglévő táblák nagyobb letöréseinek (2 m2-nél nagyobbak) javítása teljes vastagságban 3 naposan terhelhető CP 4/2,7 bazalt beton anyaggal</t>
  </si>
  <si>
    <t>Előző, szakszerűtlen javításokból megmaradt bitumenes foltok eltávolítása az útpálya elemekről (vonalmenti)</t>
  </si>
  <si>
    <t>Előző, szakszerűtlen javításokból megmaradt bitumenes foltok eltávolítása az útpálya elemekről (nagyobb kiterjedéső foltszerű)</t>
  </si>
  <si>
    <t xml:space="preserve"> Futópálya új dilatációk képzése, polimer fuga kitöltő anyag. (Polysulfid 2K (Eurolastic))</t>
  </si>
  <si>
    <t>Pályaszerkezeti meghibásodások elkerülése érdekében kb. 100 méterenként szélesebb és mélyebb dilatáció vágás, speciális kitöltéssel. Hossz irányban is dil. vágás, fózolás, polimer fuga kitöltő anyaggal.</t>
  </si>
  <si>
    <t>VI.1.</t>
  </si>
  <si>
    <t>VI.2.</t>
  </si>
  <si>
    <t>VI.2.1.</t>
  </si>
  <si>
    <t>VI.3.</t>
  </si>
  <si>
    <t>VI.4.</t>
  </si>
  <si>
    <t>VI.4.1.</t>
  </si>
  <si>
    <t>VI.4.2.</t>
  </si>
  <si>
    <t>VI.4.3.</t>
  </si>
  <si>
    <t xml:space="preserve"> Újboli  felmért pályaszerkezeti hibák többlet javítása, felújítása (2025)</t>
  </si>
  <si>
    <r>
      <t>Meglévő bazaltbeton pályaszerkezeti táblák nagyobb letöréseinek (0,25 m2-nél nagyobbak) javítása, 2 komponensű betonfelülethez kiváló tapadást biztosító műgyantával vagy cement bázisú anyaggal.
(</t>
    </r>
    <r>
      <rPr>
        <b/>
        <i/>
        <sz val="12"/>
        <rFont val="Aptos Narrow"/>
        <family val="2"/>
        <scheme val="minor"/>
      </rPr>
      <t xml:space="preserve">Eurepair pc 96 </t>
    </r>
    <r>
      <rPr>
        <i/>
        <sz val="12"/>
        <rFont val="Aptos Narrow"/>
        <family val="2"/>
        <scheme val="minor"/>
      </rPr>
      <t>nevű műgyanta alkalmazása, nemzetközi repülőtereken jóváhagyott anyag, BUD, Debrecen)</t>
    </r>
  </si>
  <si>
    <t>2025 februári új felmérés alapján többlet.</t>
  </si>
  <si>
    <t>kerekítve</t>
  </si>
  <si>
    <t>db (5*5m pályaszerkezeti tábla elmarad)</t>
  </si>
  <si>
    <t>2. TWY A3 GURULÓÚT -szerződéses költségvetés</t>
  </si>
  <si>
    <t>2. TWY A3 GURULÓÚT -módosított költségvetés</t>
  </si>
  <si>
    <t xml:space="preserve"> Újboli  felmért pályaszerkezeti hibák többlet javítása, felújítása (2025) elmaradó</t>
  </si>
  <si>
    <t>Többletköltségek ÖSSZESÍTŐ -2025.06.02.</t>
  </si>
  <si>
    <t>Melléklet: 6. sz. Változás bejelentő</t>
  </si>
  <si>
    <t>Elmaradás:</t>
  </si>
  <si>
    <t>Melléklet: 7. sz. Változás bejelentő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</si>
</sst>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* #,##0.00\ &quot;Ft&quot;_-;\-* #,##0.00\ &quot;Ft&quot;_-;_-* &quot;-&quot;??\ &quot;Ft&quot;_-;_-@_-"/>
    <numFmt numFmtId="43" formatCode="_-* #,##0.00_-;\-* #,##0.00_-;_-* &quot;-&quot;??_-;_-@_-"/>
    <numFmt numFmtId="164" formatCode="_-* #,##0.00\ _F_t_-;\-* #,##0.00\ _F_t_-;_-* &quot;-&quot;??\ _F_t_-;_-@_-"/>
    <numFmt numFmtId="165" formatCode="#,##0\ &quot;Ft&quot;"/>
    <numFmt numFmtId="166" formatCode="_-* #,##0\ &quot;Ft&quot;_-;\-* #,##0\ &quot;Ft&quot;_-;_-* &quot;-&quot;??\ &quot;Ft&quot;_-;_-@_-"/>
    <numFmt numFmtId="167" formatCode="#,##0.0"/>
    <numFmt numFmtId="168" formatCode="_-* #,##0_-;\-* #,##0_-;_-* &quot;-&quot;??_-;_-@_-"/>
    <numFmt numFmtId="169" formatCode="_(&quot;€&quot;* #,##0.00_);_(&quot;€&quot;* \(#,##0.00\);_(&quot;€&quot;* &quot;-&quot;??_);_(@_)"/>
  </numFmts>
  <fonts count="100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Aptos Narrow"/>
      <family val="2"/>
      <scheme val="minor"/>
    </font>
    <font>
      <sz val="12"/>
      <color indexed="8"/>
      <name val="Aptos Narrow"/>
      <family val="2"/>
      <scheme val="minor"/>
    </font>
    <font>
      <sz val="10"/>
      <color indexed="8"/>
      <name val="Aptos Narrow"/>
      <family val="2"/>
      <scheme val="minor"/>
    </font>
    <font>
      <b/>
      <sz val="12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2"/>
      <color rgb="FF000000"/>
      <name val="Aptos Narrow"/>
      <family val="2"/>
      <scheme val="minor"/>
    </font>
    <font>
      <sz val="10"/>
      <name val="Arial"/>
      <family val="2"/>
      <charset val="238"/>
    </font>
    <font>
      <b/>
      <sz val="12"/>
      <color rgb="FF000000"/>
      <name val="Aptos Narrow"/>
      <family val="2"/>
      <scheme val="minor"/>
    </font>
    <font>
      <sz val="10"/>
      <name val="Times New Roman CE"/>
      <charset val="238"/>
    </font>
    <font>
      <sz val="10"/>
      <name val="Arial CE"/>
      <charset val="238"/>
    </font>
    <font>
      <sz val="10"/>
      <name val="Arial CE"/>
    </font>
    <font>
      <u/>
      <sz val="10"/>
      <color theme="10"/>
      <name val="Arial"/>
      <family val="2"/>
      <charset val="238"/>
    </font>
    <font>
      <sz val="11"/>
      <color indexed="17"/>
      <name val="Calibri"/>
      <family val="2"/>
      <charset val="238"/>
    </font>
    <font>
      <sz val="10"/>
      <name val="MS Sans Serif"/>
      <family val="2"/>
      <charset val="238"/>
    </font>
    <font>
      <sz val="10"/>
      <name val="MS Sans Serif"/>
      <charset val="238"/>
    </font>
    <font>
      <sz val="11"/>
      <color theme="1"/>
      <name val="Arial"/>
      <family val="2"/>
      <charset val="238"/>
    </font>
    <font>
      <b/>
      <sz val="14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color indexed="8"/>
      <name val="Aptos Narrow"/>
      <family val="2"/>
      <scheme val="minor"/>
    </font>
    <font>
      <b/>
      <sz val="8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i/>
      <sz val="12"/>
      <name val="Aptos Narrow"/>
      <family val="2"/>
      <scheme val="minor"/>
    </font>
    <font>
      <b/>
      <i/>
      <sz val="12"/>
      <name val="Aptos Narrow"/>
      <family val="2"/>
      <scheme val="minor"/>
    </font>
    <font>
      <b/>
      <u/>
      <sz val="12"/>
      <name val="Aptos Narrow"/>
      <family val="2"/>
      <scheme val="minor"/>
    </font>
    <font>
      <sz val="11"/>
      <name val="Aptos Narrow"/>
      <family val="2"/>
      <charset val="238"/>
      <scheme val="minor"/>
    </font>
    <font>
      <b/>
      <sz val="10"/>
      <name val="Aptos Narrow"/>
      <family val="2"/>
      <scheme val="minor"/>
    </font>
    <font>
      <sz val="10"/>
      <name val="Arial CE"/>
      <family val="2"/>
      <charset val="238"/>
    </font>
    <font>
      <sz val="10"/>
      <name val="Helv"/>
      <charset val="204"/>
    </font>
    <font>
      <sz val="10"/>
      <name val="Helv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  <charset val="238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20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1"/>
      <color indexed="8"/>
      <name val="Calibri"/>
      <family val="2"/>
      <charset val="238"/>
    </font>
    <font>
      <b/>
      <sz val="10"/>
      <color indexed="9"/>
      <name val="Arial"/>
      <family val="2"/>
    </font>
    <font>
      <b/>
      <sz val="11"/>
      <color indexed="9"/>
      <name val="Calibri"/>
      <family val="2"/>
    </font>
    <font>
      <sz val="11"/>
      <color indexed="20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04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sz val="11"/>
      <color indexed="58"/>
      <name val="Calibri"/>
      <family val="2"/>
    </font>
    <font>
      <b/>
      <sz val="15"/>
      <color indexed="56"/>
      <name val="Arial"/>
      <family val="2"/>
    </font>
    <font>
      <b/>
      <sz val="15"/>
      <color indexed="62"/>
      <name val="Calibri"/>
      <family val="2"/>
    </font>
    <font>
      <b/>
      <sz val="13"/>
      <color indexed="56"/>
      <name val="Arial"/>
      <family val="2"/>
    </font>
    <font>
      <b/>
      <sz val="13"/>
      <color indexed="62"/>
      <name val="Calibri"/>
      <family val="2"/>
    </font>
    <font>
      <b/>
      <sz val="11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9"/>
      <name val="Calibri"/>
      <family val="2"/>
      <charset val="238"/>
    </font>
    <font>
      <sz val="8"/>
      <name val="Arial"/>
      <family val="2"/>
    </font>
    <font>
      <b/>
      <sz val="10"/>
      <name val="Helv"/>
    </font>
    <font>
      <sz val="8"/>
      <color indexed="8"/>
      <name val=".HelveticaLightTTEE"/>
      <family val="2"/>
      <charset val="2"/>
    </font>
    <font>
      <sz val="10"/>
      <color indexed="52"/>
      <name val="Arial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</font>
    <font>
      <sz val="11"/>
      <color indexed="52"/>
      <name val="Calibri"/>
      <family val="2"/>
      <charset val="238"/>
    </font>
    <font>
      <sz val="10"/>
      <name val="Symbol"/>
      <family val="1"/>
      <charset val="2"/>
    </font>
    <font>
      <sz val="12"/>
      <name val="Arial MT"/>
    </font>
    <font>
      <b/>
      <sz val="12"/>
      <name val="Helv"/>
    </font>
    <font>
      <sz val="10"/>
      <color theme="1"/>
      <name val="Arial"/>
      <family val="2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sz val="10"/>
      <name val="Courier"/>
      <family val="3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</font>
    <font>
      <b/>
      <sz val="10"/>
      <color rgb="FF00000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8"/>
      <color theme="1"/>
      <name val="Aptos Narrow"/>
      <family val="2"/>
      <scheme val="minor"/>
    </font>
    <font>
      <i/>
      <sz val="12"/>
      <color indexed="8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9"/>
      <color theme="1"/>
      <name val="Aptos Narrow"/>
      <family val="2"/>
      <charset val="238"/>
      <scheme val="minor"/>
    </font>
    <font>
      <sz val="12"/>
      <color rgb="FFFF0000"/>
      <name val="Aptos Narrow"/>
      <family val="2"/>
      <scheme val="minor"/>
    </font>
    <font>
      <b/>
      <sz val="12"/>
      <color rgb="FFFF0000"/>
      <name val="Aptos Narrow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EDEDED"/>
        <bgColor rgb="FF000000"/>
      </patternFill>
    </fill>
    <fill>
      <patternFill patternType="solid">
        <fgColor indexed="42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15"/>
      </patternFill>
    </fill>
    <fill>
      <patternFill patternType="solid">
        <fgColor indexed="2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5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</borders>
  <cellStyleXfs count="221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14" fillId="0" borderId="0" applyFont="0" applyFill="0" applyBorder="0" applyAlignment="0" applyProtection="0"/>
    <xf numFmtId="0" fontId="16" fillId="0" borderId="0"/>
    <xf numFmtId="0" fontId="14" fillId="0" borderId="0"/>
    <xf numFmtId="0" fontId="18" fillId="0" borderId="0"/>
    <xf numFmtId="0" fontId="19" fillId="0" borderId="0" applyNumberFormat="0" applyFill="0" applyBorder="0" applyAlignment="0" applyProtection="0"/>
    <xf numFmtId="0" fontId="20" fillId="4" borderId="0"/>
    <xf numFmtId="0" fontId="14" fillId="0" borderId="0"/>
    <xf numFmtId="0" fontId="17" fillId="0" borderId="0"/>
    <xf numFmtId="0" fontId="23" fillId="0" borderId="0"/>
    <xf numFmtId="0" fontId="2" fillId="0" borderId="0"/>
    <xf numFmtId="0" fontId="2" fillId="0" borderId="0"/>
    <xf numFmtId="0" fontId="17" fillId="0" borderId="0"/>
    <xf numFmtId="0" fontId="1" fillId="0" borderId="0"/>
    <xf numFmtId="0" fontId="21" fillId="0" borderId="0"/>
    <xf numFmtId="0" fontId="22" fillId="0" borderId="0"/>
    <xf numFmtId="0" fontId="2" fillId="0" borderId="0"/>
    <xf numFmtId="0" fontId="1" fillId="0" borderId="0"/>
    <xf numFmtId="41" fontId="14" fillId="0" borderId="0" applyFont="0" applyFill="0" applyBorder="0" applyAlignment="0" applyProtection="0"/>
    <xf numFmtId="0" fontId="21" fillId="0" borderId="0"/>
    <xf numFmtId="0" fontId="17" fillId="0" borderId="0"/>
    <xf numFmtId="44" fontId="14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1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36" fillId="0" borderId="0" applyProtection="0"/>
    <xf numFmtId="0" fontId="3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5" borderId="0" applyNumberFormat="0" applyBorder="0" applyAlignment="0" applyProtection="0"/>
    <xf numFmtId="0" fontId="39" fillId="17" borderId="0" applyNumberFormat="0" applyBorder="0" applyAlignment="0" applyProtection="0"/>
    <xf numFmtId="0" fontId="39" fillId="16" borderId="0" applyNumberFormat="0" applyBorder="0" applyAlignment="0" applyProtection="0"/>
    <xf numFmtId="0" fontId="39" fillId="18" borderId="0" applyNumberFormat="0" applyBorder="0" applyAlignment="0" applyProtection="0"/>
    <xf numFmtId="0" fontId="39" fillId="15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0" borderId="0" applyNumberFormat="0" applyBorder="0" applyAlignment="0" applyProtection="0"/>
    <xf numFmtId="0" fontId="39" fillId="24" borderId="0" applyNumberFormat="0" applyBorder="0" applyAlignment="0" applyProtection="0"/>
    <xf numFmtId="0" fontId="39" fillId="23" borderId="0" applyNumberFormat="0" applyBorder="0" applyAlignment="0" applyProtection="0"/>
    <xf numFmtId="0" fontId="39" fillId="19" borderId="0" applyNumberFormat="0" applyBorder="0" applyAlignment="0" applyProtection="0"/>
    <xf numFmtId="0" fontId="39" fillId="15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3" borderId="0" applyNumberFormat="0" applyBorder="0" applyAlignment="0" applyProtection="0"/>
    <xf numFmtId="0" fontId="39" fillId="19" borderId="0" applyNumberFormat="0" applyBorder="0" applyAlignment="0" applyProtection="0"/>
    <xf numFmtId="0" fontId="39" fillId="22" borderId="0" applyNumberFormat="0" applyBorder="0" applyAlignment="0" applyProtection="0"/>
    <xf numFmtId="0" fontId="40" fillId="25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6" borderId="0" applyNumberFormat="0" applyBorder="0" applyAlignment="0" applyProtection="0"/>
    <xf numFmtId="0" fontId="40" fillId="16" borderId="0" applyNumberFormat="0" applyBorder="0" applyAlignment="0" applyProtection="0"/>
    <xf numFmtId="0" fontId="40" fillId="27" borderId="0" applyNumberFormat="0" applyBorder="0" applyAlignment="0" applyProtection="0"/>
    <xf numFmtId="0" fontId="40" fillId="25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26" borderId="0" applyNumberFormat="0" applyBorder="0" applyAlignment="0" applyProtection="0"/>
    <xf numFmtId="0" fontId="40" fillId="16" borderId="0" applyNumberFormat="0" applyBorder="0" applyAlignment="0" applyProtection="0"/>
    <xf numFmtId="0" fontId="40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0" borderId="0" applyNumberFormat="0" applyBorder="0" applyAlignment="0" applyProtection="0"/>
    <xf numFmtId="0" fontId="41" fillId="24" borderId="0" applyNumberFormat="0" applyBorder="0" applyAlignment="0" applyProtection="0"/>
    <xf numFmtId="0" fontId="41" fillId="23" borderId="0" applyNumberFormat="0" applyBorder="0" applyAlignment="0" applyProtection="0"/>
    <xf numFmtId="0" fontId="41" fillId="19" borderId="0" applyNumberFormat="0" applyBorder="0" applyAlignment="0" applyProtection="0"/>
    <xf numFmtId="0" fontId="41" fillId="15" borderId="0" applyNumberFormat="0" applyBorder="0" applyAlignment="0" applyProtection="0"/>
    <xf numFmtId="0" fontId="41" fillId="25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26" borderId="0" applyNumberFormat="0" applyBorder="0" applyAlignment="0" applyProtection="0"/>
    <xf numFmtId="0" fontId="41" fillId="16" borderId="0" applyNumberFormat="0" applyBorder="0" applyAlignment="0" applyProtection="0"/>
    <xf numFmtId="0" fontId="41" fillId="27" borderId="0" applyNumberFormat="0" applyBorder="0" applyAlignment="0" applyProtection="0"/>
    <xf numFmtId="0" fontId="42" fillId="29" borderId="0" applyNumberFormat="0" applyBorder="0" applyAlignment="0" applyProtection="0"/>
    <xf numFmtId="0" fontId="41" fillId="29" borderId="0" applyNumberFormat="0" applyBorder="0" applyAlignment="0" applyProtection="0"/>
    <xf numFmtId="0" fontId="42" fillId="30" borderId="0" applyNumberFormat="0" applyBorder="0" applyAlignment="0" applyProtection="0"/>
    <xf numFmtId="0" fontId="41" fillId="30" borderId="0" applyNumberFormat="0" applyBorder="0" applyAlignment="0" applyProtection="0"/>
    <xf numFmtId="0" fontId="42" fillId="31" borderId="0" applyNumberFormat="0" applyBorder="0" applyAlignment="0" applyProtection="0"/>
    <xf numFmtId="0" fontId="41" fillId="31" borderId="0" applyNumberFormat="0" applyBorder="0" applyAlignment="0" applyProtection="0"/>
    <xf numFmtId="0" fontId="42" fillId="26" borderId="0" applyNumberFormat="0" applyBorder="0" applyAlignment="0" applyProtection="0"/>
    <xf numFmtId="0" fontId="41" fillId="28" borderId="0" applyNumberFormat="0" applyBorder="0" applyAlignment="0" applyProtection="0"/>
    <xf numFmtId="0" fontId="42" fillId="16" borderId="0" applyNumberFormat="0" applyBorder="0" applyAlignment="0" applyProtection="0"/>
    <xf numFmtId="0" fontId="41" fillId="31" borderId="0" applyNumberFormat="0" applyBorder="0" applyAlignment="0" applyProtection="0"/>
    <xf numFmtId="0" fontId="42" fillId="32" borderId="0" applyNumberFormat="0" applyBorder="0" applyAlignment="0" applyProtection="0"/>
    <xf numFmtId="0" fontId="41" fillId="32" borderId="0" applyNumberFormat="0" applyBorder="0" applyAlignment="0" applyProtection="0"/>
    <xf numFmtId="0" fontId="43" fillId="11" borderId="0" applyNumberFormat="0" applyBorder="0" applyAlignment="0" applyProtection="0"/>
    <xf numFmtId="0" fontId="44" fillId="11" borderId="0" applyNumberFormat="0" applyBorder="0" applyAlignment="0" applyProtection="0"/>
    <xf numFmtId="0" fontId="46" fillId="16" borderId="27" applyNumberFormat="0" applyAlignment="0" applyProtection="0"/>
    <xf numFmtId="0" fontId="47" fillId="0" borderId="28" applyNumberFormat="0" applyFill="0" applyAlignment="0" applyProtection="0"/>
    <xf numFmtId="0" fontId="48" fillId="33" borderId="29" applyNumberFormat="0" applyAlignment="0" applyProtection="0"/>
    <xf numFmtId="0" fontId="49" fillId="33" borderId="29" applyNumberFormat="0" applyAlignment="0" applyProtection="0"/>
    <xf numFmtId="0" fontId="50" fillId="11" borderId="0" applyNumberFormat="0" applyBorder="0" applyAlignment="0" applyProtection="0"/>
    <xf numFmtId="0" fontId="20" fillId="12" borderId="0" applyNumberFormat="0" applyBorder="0" applyAlignment="0" applyProtection="0"/>
    <xf numFmtId="169" fontId="51" fillId="0" borderId="0" applyFont="0" applyFill="0" applyBorder="0" applyAlignment="0" applyProtection="0"/>
    <xf numFmtId="169" fontId="52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55" fillId="12" borderId="0" applyNumberFormat="0" applyBorder="0" applyAlignment="0" applyProtection="0"/>
    <xf numFmtId="0" fontId="56" fillId="12" borderId="0" applyNumberFormat="0" applyBorder="0" applyAlignment="0" applyProtection="0"/>
    <xf numFmtId="0" fontId="57" fillId="0" borderId="30" applyNumberFormat="0" applyFill="0" applyAlignment="0" applyProtection="0"/>
    <xf numFmtId="0" fontId="58" fillId="0" borderId="30" applyNumberFormat="0" applyFill="0" applyAlignment="0" applyProtection="0"/>
    <xf numFmtId="0" fontId="59" fillId="0" borderId="31" applyNumberFormat="0" applyFill="0" applyAlignment="0" applyProtection="0"/>
    <xf numFmtId="0" fontId="60" fillId="0" borderId="31" applyNumberFormat="0" applyFill="0" applyAlignment="0" applyProtection="0"/>
    <xf numFmtId="0" fontId="61" fillId="0" borderId="32" applyNumberFormat="0" applyFill="0" applyAlignment="0" applyProtection="0"/>
    <xf numFmtId="0" fontId="62" fillId="0" borderId="33" applyNumberFormat="0" applyFill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5" fillId="15" borderId="27" applyNumberFormat="0" applyAlignment="0" applyProtection="0"/>
    <xf numFmtId="0" fontId="64" fillId="33" borderId="29" applyNumberFormat="0" applyAlignment="0" applyProtection="0"/>
    <xf numFmtId="0" fontId="64" fillId="33" borderId="29" applyNumberFormat="0" applyAlignment="0" applyProtection="0"/>
    <xf numFmtId="0" fontId="65" fillId="34" borderId="26" applyFont="0" applyFill="0" applyBorder="0" applyAlignment="0">
      <alignment horizontal="left"/>
    </xf>
    <xf numFmtId="0" fontId="66" fillId="0" borderId="35"/>
    <xf numFmtId="0" fontId="67" fillId="0" borderId="36" applyNumberFormat="0" applyFont="0" applyFill="0" applyAlignment="0" applyProtection="0">
      <alignment horizontal="left"/>
    </xf>
    <xf numFmtId="0" fontId="68" fillId="0" borderId="37" applyNumberFormat="0" applyFill="0" applyAlignment="0" applyProtection="0"/>
    <xf numFmtId="0" fontId="69" fillId="0" borderId="37" applyNumberFormat="0" applyFill="0" applyAlignment="0" applyProtection="0"/>
    <xf numFmtId="0" fontId="70" fillId="0" borderId="30" applyNumberFormat="0" applyFill="0" applyAlignment="0" applyProtection="0"/>
    <xf numFmtId="0" fontId="71" fillId="0" borderId="31" applyNumberFormat="0" applyFill="0" applyAlignment="0" applyProtection="0"/>
    <xf numFmtId="0" fontId="72" fillId="0" borderId="32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24" borderId="0" applyNumberFormat="0" applyBorder="0" applyAlignment="0" applyProtection="0"/>
    <xf numFmtId="0" fontId="74" fillId="24" borderId="0" applyNumberFormat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17" borderId="38" applyNumberFormat="0" applyFont="0" applyAlignment="0" applyProtection="0"/>
    <xf numFmtId="0" fontId="63" fillId="16" borderId="34" applyNumberFormat="0" applyAlignment="0" applyProtection="0"/>
    <xf numFmtId="0" fontId="52" fillId="17" borderId="38" applyNumberFormat="0" applyFont="0" applyAlignment="0" applyProtection="0"/>
    <xf numFmtId="0" fontId="76" fillId="0" borderId="37" applyNumberFormat="0" applyFill="0" applyAlignment="0" applyProtection="0"/>
    <xf numFmtId="0" fontId="76" fillId="0" borderId="37" applyNumberFormat="0" applyFill="0" applyAlignment="0" applyProtection="0"/>
    <xf numFmtId="0" fontId="47" fillId="0" borderId="28" applyNumberFormat="0" applyFill="0" applyAlignment="0" applyProtection="0"/>
    <xf numFmtId="0" fontId="20" fillId="12" borderId="0" applyNumberFormat="0" applyBorder="0" applyAlignment="0" applyProtection="0"/>
    <xf numFmtId="0" fontId="77" fillId="0" borderId="0"/>
    <xf numFmtId="0" fontId="78" fillId="0" borderId="0"/>
    <xf numFmtId="0" fontId="78" fillId="0" borderId="0"/>
    <xf numFmtId="0" fontId="78" fillId="0" borderId="0"/>
    <xf numFmtId="0" fontId="79" fillId="0" borderId="0"/>
    <xf numFmtId="0" fontId="77" fillId="0" borderId="0"/>
    <xf numFmtId="0" fontId="51" fillId="0" borderId="0"/>
    <xf numFmtId="0" fontId="52" fillId="0" borderId="0"/>
    <xf numFmtId="0" fontId="52" fillId="0" borderId="0"/>
    <xf numFmtId="0" fontId="80" fillId="0" borderId="0"/>
    <xf numFmtId="0" fontId="80" fillId="0" borderId="0"/>
    <xf numFmtId="0" fontId="80" fillId="0" borderId="0"/>
    <xf numFmtId="0" fontId="51" fillId="0" borderId="0"/>
    <xf numFmtId="0" fontId="38" fillId="0" borderId="0"/>
    <xf numFmtId="0" fontId="36" fillId="0" borderId="0" applyProtection="0"/>
    <xf numFmtId="0" fontId="66" fillId="0" borderId="35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5" fillId="0" borderId="28" applyNumberFormat="0" applyFill="0" applyAlignment="0" applyProtection="0"/>
    <xf numFmtId="0" fontId="84" fillId="0" borderId="0"/>
    <xf numFmtId="0" fontId="85" fillId="15" borderId="27" applyNumberFormat="0" applyAlignment="0" applyProtection="0"/>
    <xf numFmtId="0" fontId="86" fillId="23" borderId="27" applyNumberFormat="0" applyAlignment="0" applyProtection="0"/>
    <xf numFmtId="0" fontId="87" fillId="23" borderId="34" applyNumberFormat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69" fontId="51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89" fillId="35" borderId="0" applyFont="0" applyFill="0" applyAlignment="0">
      <alignment horizontal="left"/>
    </xf>
    <xf numFmtId="0" fontId="50" fillId="11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40" fillId="31" borderId="0" applyNumberFormat="0" applyBorder="0" applyAlignment="0" applyProtection="0"/>
    <xf numFmtId="0" fontId="40" fillId="26" borderId="0" applyNumberFormat="0" applyBorder="0" applyAlignment="0" applyProtection="0"/>
    <xf numFmtId="0" fontId="40" fillId="16" borderId="0" applyNumberFormat="0" applyBorder="0" applyAlignment="0" applyProtection="0"/>
    <xf numFmtId="0" fontId="40" fillId="32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40" fillId="31" borderId="0" applyNumberFormat="0" applyBorder="0" applyAlignment="0" applyProtection="0"/>
    <xf numFmtId="0" fontId="40" fillId="26" borderId="0" applyNumberFormat="0" applyBorder="0" applyAlignment="0" applyProtection="0"/>
    <xf numFmtId="0" fontId="40" fillId="16" borderId="0" applyNumberFormat="0" applyBorder="0" applyAlignment="0" applyProtection="0"/>
    <xf numFmtId="0" fontId="40" fillId="32" borderId="0" applyNumberFormat="0" applyBorder="0" applyAlignment="0" applyProtection="0"/>
    <xf numFmtId="44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65" fillId="34" borderId="50" applyFont="0" applyFill="0" applyBorder="0" applyAlignment="0">
      <alignment horizontal="left"/>
    </xf>
  </cellStyleXfs>
  <cellXfs count="263">
    <xf numFmtId="0" fontId="0" fillId="0" borderId="0" xfId="0"/>
    <xf numFmtId="0" fontId="5" fillId="0" borderId="0" xfId="2" applyFont="1" applyAlignment="1">
      <alignment vertical="center" wrapText="1"/>
    </xf>
    <xf numFmtId="3" fontId="5" fillId="0" borderId="0" xfId="2" applyNumberFormat="1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165" fontId="11" fillId="0" borderId="0" xfId="0" applyNumberFormat="1" applyFont="1"/>
    <xf numFmtId="3" fontId="4" fillId="0" borderId="0" xfId="2" applyNumberFormat="1" applyFont="1" applyAlignment="1">
      <alignment horizontal="center" vertical="center" wrapText="1"/>
    </xf>
    <xf numFmtId="165" fontId="9" fillId="0" borderId="0" xfId="0" applyNumberFormat="1" applyFont="1"/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10" fillId="0" borderId="1" xfId="2" applyFont="1" applyBorder="1" applyAlignment="1">
      <alignment vertical="center" wrapText="1"/>
    </xf>
    <xf numFmtId="166" fontId="15" fillId="0" borderId="0" xfId="1" applyNumberFormat="1" applyFont="1" applyFill="1" applyAlignment="1">
      <alignment horizontal="right" vertical="center" wrapText="1"/>
    </xf>
    <xf numFmtId="166" fontId="4" fillId="0" borderId="1" xfId="1" applyNumberFormat="1" applyFont="1" applyBorder="1" applyAlignment="1">
      <alignment horizontal="right" vertical="center" wrapText="1"/>
    </xf>
    <xf numFmtId="166" fontId="10" fillId="0" borderId="1" xfId="1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3" fontId="10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166" fontId="4" fillId="0" borderId="0" xfId="1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/>
    </xf>
    <xf numFmtId="167" fontId="10" fillId="0" borderId="3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3" xfId="2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 wrapText="1"/>
    </xf>
    <xf numFmtId="3" fontId="10" fillId="0" borderId="0" xfId="0" applyNumberFormat="1" applyFont="1" applyAlignment="1">
      <alignment horizontal="right" vertical="center"/>
    </xf>
    <xf numFmtId="166" fontId="10" fillId="5" borderId="1" xfId="1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vertical="center" wrapText="1"/>
    </xf>
    <xf numFmtId="166" fontId="4" fillId="5" borderId="1" xfId="1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26" fillId="0" borderId="0" xfId="2" applyFont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9" fillId="5" borderId="1" xfId="0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0" fillId="0" borderId="0" xfId="0" applyAlignment="1">
      <alignment vertical="center"/>
    </xf>
    <xf numFmtId="3" fontId="7" fillId="2" borderId="9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66" fontId="0" fillId="0" borderId="0" xfId="0" applyNumberFormat="1"/>
    <xf numFmtId="166" fontId="8" fillId="0" borderId="1" xfId="1" applyNumberFormat="1" applyFont="1" applyBorder="1" applyAlignment="1">
      <alignment horizontal="right" vertical="center" wrapText="1"/>
    </xf>
    <xf numFmtId="49" fontId="15" fillId="3" borderId="13" xfId="0" applyNumberFormat="1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166" fontId="15" fillId="0" borderId="13" xfId="1" applyNumberFormat="1" applyFont="1" applyFill="1" applyBorder="1" applyAlignment="1">
      <alignment horizontal="right" vertical="center" wrapText="1"/>
    </xf>
    <xf numFmtId="0" fontId="31" fillId="5" borderId="2" xfId="0" applyFont="1" applyFill="1" applyBorder="1" applyAlignment="1">
      <alignment vertical="center" wrapText="1"/>
    </xf>
    <xf numFmtId="0" fontId="31" fillId="5" borderId="0" xfId="2" applyFont="1" applyFill="1" applyAlignment="1">
      <alignment horizontal="left" vertical="center" wrapText="1"/>
    </xf>
    <xf numFmtId="0" fontId="34" fillId="0" borderId="10" xfId="0" applyFont="1" applyBorder="1" applyAlignment="1">
      <alignment vertical="center" wrapText="1"/>
    </xf>
    <xf numFmtId="0" fontId="3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66" fontId="11" fillId="0" borderId="13" xfId="0" applyNumberFormat="1" applyFont="1" applyBorder="1" applyAlignment="1">
      <alignment vertical="center"/>
    </xf>
    <xf numFmtId="49" fontId="25" fillId="0" borderId="2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166" fontId="8" fillId="0" borderId="13" xfId="1" applyNumberFormat="1" applyFont="1" applyFill="1" applyBorder="1" applyAlignment="1">
      <alignment horizontal="center" vertical="center" wrapText="1"/>
    </xf>
    <xf numFmtId="49" fontId="15" fillId="3" borderId="24" xfId="0" applyNumberFormat="1" applyFont="1" applyFill="1" applyBorder="1" applyAlignment="1">
      <alignment horizontal="center" vertical="center" wrapText="1"/>
    </xf>
    <xf numFmtId="0" fontId="10" fillId="0" borderId="12" xfId="2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/>
    </xf>
    <xf numFmtId="166" fontId="8" fillId="0" borderId="12" xfId="1" applyNumberFormat="1" applyFont="1" applyBorder="1" applyAlignment="1">
      <alignment horizontal="right" vertical="center" wrapText="1"/>
    </xf>
    <xf numFmtId="0" fontId="31" fillId="5" borderId="12" xfId="2" applyFont="1" applyFill="1" applyBorder="1" applyAlignment="1">
      <alignment horizontal="left" vertical="center" wrapText="1"/>
    </xf>
    <xf numFmtId="0" fontId="24" fillId="0" borderId="25" xfId="0" applyFont="1" applyBorder="1" applyAlignment="1">
      <alignment vertical="center" wrapText="1"/>
    </xf>
    <xf numFmtId="0" fontId="10" fillId="5" borderId="12" xfId="2" applyFont="1" applyFill="1" applyBorder="1" applyAlignment="1">
      <alignment horizontal="center" vertical="center" wrapText="1"/>
    </xf>
    <xf numFmtId="166" fontId="4" fillId="5" borderId="12" xfId="1" applyNumberFormat="1" applyFont="1" applyFill="1" applyBorder="1" applyAlignment="1">
      <alignment horizontal="right" vertical="center" wrapText="1"/>
    </xf>
    <xf numFmtId="166" fontId="10" fillId="5" borderId="12" xfId="1" applyNumberFormat="1" applyFont="1" applyFill="1" applyBorder="1" applyAlignment="1">
      <alignment horizontal="right" vertical="center" wrapText="1"/>
    </xf>
    <xf numFmtId="0" fontId="29" fillId="5" borderId="12" xfId="0" applyFont="1" applyFill="1" applyBorder="1" applyAlignment="1">
      <alignment horizontal="center" vertical="center" wrapText="1"/>
    </xf>
    <xf numFmtId="0" fontId="10" fillId="0" borderId="12" xfId="35" applyFont="1" applyBorder="1" applyAlignment="1">
      <alignment vertical="center" wrapText="1"/>
    </xf>
    <xf numFmtId="49" fontId="10" fillId="0" borderId="0" xfId="2" applyNumberFormat="1" applyFont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3" fontId="10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center" vertical="top"/>
    </xf>
    <xf numFmtId="3" fontId="9" fillId="0" borderId="0" xfId="2" applyNumberFormat="1" applyFont="1" applyAlignment="1">
      <alignment horizontal="right" vertical="center"/>
    </xf>
    <xf numFmtId="3" fontId="10" fillId="0" borderId="0" xfId="3" applyNumberFormat="1" applyFont="1" applyFill="1" applyBorder="1" applyAlignment="1">
      <alignment horizontal="right" vertical="top"/>
    </xf>
    <xf numFmtId="0" fontId="9" fillId="7" borderId="0" xfId="0" applyFont="1" applyFill="1" applyAlignment="1">
      <alignment horizontal="right"/>
    </xf>
    <xf numFmtId="3" fontId="13" fillId="7" borderId="0" xfId="0" applyNumberFormat="1" applyFont="1" applyFill="1" applyAlignment="1">
      <alignment horizontal="right" vertical="center" wrapText="1"/>
    </xf>
    <xf numFmtId="49" fontId="13" fillId="3" borderId="12" xfId="0" applyNumberFormat="1" applyFont="1" applyFill="1" applyBorder="1" applyAlignment="1">
      <alignment horizontal="left" vertical="center"/>
    </xf>
    <xf numFmtId="0" fontId="10" fillId="0" borderId="0" xfId="2" applyFont="1" applyAlignment="1">
      <alignment vertical="top" wrapText="1"/>
    </xf>
    <xf numFmtId="2" fontId="10" fillId="0" borderId="0" xfId="6" applyNumberFormat="1" applyFont="1" applyAlignment="1">
      <alignment vertical="center" wrapText="1"/>
    </xf>
    <xf numFmtId="0" fontId="9" fillId="0" borderId="0" xfId="0" applyFont="1" applyAlignment="1">
      <alignment horizontal="right" vertical="center"/>
    </xf>
    <xf numFmtId="2" fontId="9" fillId="0" borderId="0" xfId="6" applyNumberFormat="1" applyFont="1" applyAlignment="1">
      <alignment vertical="center"/>
    </xf>
    <xf numFmtId="3" fontId="13" fillId="0" borderId="0" xfId="2" applyNumberFormat="1" applyFont="1" applyAlignment="1">
      <alignment horizontal="right" vertical="center"/>
    </xf>
    <xf numFmtId="3" fontId="4" fillId="0" borderId="0" xfId="2" applyNumberFormat="1" applyFont="1" applyAlignment="1">
      <alignment horizontal="right" vertical="center" wrapText="1"/>
    </xf>
    <xf numFmtId="3" fontId="13" fillId="0" borderId="0" xfId="2" applyNumberFormat="1" applyFont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8" fillId="8" borderId="5" xfId="0" applyFont="1" applyFill="1" applyBorder="1" applyAlignment="1" applyProtection="1">
      <alignment vertical="center" wrapText="1"/>
      <protection locked="0" hidden="1"/>
    </xf>
    <xf numFmtId="3" fontId="8" fillId="8" borderId="5" xfId="0" applyNumberFormat="1" applyFont="1" applyFill="1" applyBorder="1" applyAlignment="1" applyProtection="1">
      <alignment horizontal="right" vertical="center" wrapText="1"/>
      <protection locked="0" hidden="1"/>
    </xf>
    <xf numFmtId="49" fontId="11" fillId="7" borderId="0" xfId="0" applyNumberFormat="1" applyFont="1" applyFill="1" applyAlignment="1">
      <alignment horizontal="left" vertical="center"/>
    </xf>
    <xf numFmtId="0" fontId="11" fillId="7" borderId="0" xfId="0" applyFont="1" applyFill="1" applyAlignment="1">
      <alignment horizontal="left" vertical="top"/>
    </xf>
    <xf numFmtId="0" fontId="9" fillId="7" borderId="0" xfId="0" applyFont="1" applyFill="1"/>
    <xf numFmtId="0" fontId="13" fillId="3" borderId="12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right" vertical="center"/>
    </xf>
    <xf numFmtId="0" fontId="25" fillId="0" borderId="0" xfId="0" applyFont="1"/>
    <xf numFmtId="168" fontId="10" fillId="5" borderId="1" xfId="31" applyNumberFormat="1" applyFont="1" applyFill="1" applyBorder="1" applyAlignment="1">
      <alignment vertical="center" wrapText="1"/>
    </xf>
    <xf numFmtId="168" fontId="10" fillId="5" borderId="12" xfId="31" applyNumberFormat="1" applyFont="1" applyFill="1" applyBorder="1" applyAlignment="1">
      <alignment vertical="center" wrapText="1"/>
    </xf>
    <xf numFmtId="0" fontId="10" fillId="0" borderId="0" xfId="0" applyFont="1" applyAlignment="1">
      <alignment vertical="top"/>
    </xf>
    <xf numFmtId="166" fontId="10" fillId="0" borderId="0" xfId="1" applyNumberFormat="1" applyFont="1" applyAlignment="1">
      <alignment vertical="top"/>
    </xf>
    <xf numFmtId="166" fontId="0" fillId="6" borderId="40" xfId="0" applyNumberFormat="1" applyFill="1" applyBorder="1" applyAlignment="1">
      <alignment vertical="center"/>
    </xf>
    <xf numFmtId="166" fontId="0" fillId="6" borderId="10" xfId="0" applyNumberFormat="1" applyFill="1" applyBorder="1" applyAlignment="1">
      <alignment vertical="center"/>
    </xf>
    <xf numFmtId="0" fontId="4" fillId="0" borderId="11" xfId="2" applyFont="1" applyBorder="1" applyAlignment="1">
      <alignment vertical="center" wrapText="1"/>
    </xf>
    <xf numFmtId="0" fontId="35" fillId="0" borderId="43" xfId="2" applyFont="1" applyBorder="1" applyAlignment="1">
      <alignment horizontal="center" vertical="center" wrapText="1"/>
    </xf>
    <xf numFmtId="0" fontId="6" fillId="0" borderId="43" xfId="2" applyFont="1" applyBorder="1" applyAlignment="1">
      <alignment vertical="center" wrapText="1"/>
    </xf>
    <xf numFmtId="3" fontId="4" fillId="0" borderId="22" xfId="2" applyNumberFormat="1" applyFont="1" applyBorder="1" applyAlignment="1">
      <alignment horizontal="center" vertical="center" wrapText="1"/>
    </xf>
    <xf numFmtId="3" fontId="6" fillId="0" borderId="23" xfId="2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166" fontId="15" fillId="0" borderId="45" xfId="1" applyNumberFormat="1" applyFont="1" applyFill="1" applyBorder="1" applyAlignment="1">
      <alignment horizontal="right" vertical="center" wrapText="1"/>
    </xf>
    <xf numFmtId="166" fontId="15" fillId="0" borderId="46" xfId="1" applyNumberFormat="1" applyFont="1" applyFill="1" applyBorder="1" applyAlignment="1">
      <alignment horizontal="right" vertical="center" wrapText="1"/>
    </xf>
    <xf numFmtId="0" fontId="24" fillId="0" borderId="46" xfId="0" applyFont="1" applyBorder="1" applyAlignment="1">
      <alignment vertical="center" wrapText="1"/>
    </xf>
    <xf numFmtId="166" fontId="15" fillId="0" borderId="46" xfId="1" applyNumberFormat="1" applyFont="1" applyFill="1" applyBorder="1" applyAlignment="1">
      <alignment horizontal="center" vertical="center" wrapText="1"/>
    </xf>
    <xf numFmtId="166" fontId="15" fillId="0" borderId="47" xfId="1" applyNumberFormat="1" applyFont="1" applyFill="1" applyBorder="1" applyAlignment="1">
      <alignment horizontal="right" vertical="center" wrapText="1"/>
    </xf>
    <xf numFmtId="166" fontId="15" fillId="0" borderId="48" xfId="1" applyNumberFormat="1" applyFont="1" applyFill="1" applyBorder="1" applyAlignment="1">
      <alignment horizontal="right" vertical="center" wrapText="1"/>
    </xf>
    <xf numFmtId="166" fontId="15" fillId="0" borderId="25" xfId="1" applyNumberFormat="1" applyFont="1" applyFill="1" applyBorder="1" applyAlignment="1">
      <alignment horizontal="right" vertical="center" wrapText="1"/>
    </xf>
    <xf numFmtId="166" fontId="15" fillId="0" borderId="25" xfId="1" applyNumberFormat="1" applyFont="1" applyFill="1" applyBorder="1" applyAlignment="1">
      <alignment horizontal="center" vertical="center" wrapText="1"/>
    </xf>
    <xf numFmtId="166" fontId="15" fillId="0" borderId="49" xfId="1" applyNumberFormat="1" applyFont="1" applyFill="1" applyBorder="1" applyAlignment="1">
      <alignment horizontal="right" vertical="center" wrapText="1"/>
    </xf>
    <xf numFmtId="0" fontId="15" fillId="3" borderId="24" xfId="0" applyFont="1" applyFill="1" applyBorder="1" applyAlignment="1">
      <alignment horizontal="center" vertical="center" wrapText="1"/>
    </xf>
    <xf numFmtId="166" fontId="0" fillId="6" borderId="24" xfId="0" applyNumberFormat="1" applyFill="1" applyBorder="1" applyAlignment="1">
      <alignment vertical="center"/>
    </xf>
    <xf numFmtId="166" fontId="0" fillId="6" borderId="19" xfId="1" applyNumberFormat="1" applyFont="1" applyFill="1" applyBorder="1" applyAlignment="1">
      <alignment vertical="center"/>
    </xf>
    <xf numFmtId="0" fontId="6" fillId="0" borderId="18" xfId="2" applyFont="1" applyBorder="1" applyAlignment="1">
      <alignment vertical="center" wrapText="1"/>
    </xf>
    <xf numFmtId="0" fontId="27" fillId="0" borderId="24" xfId="2" applyFont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0" fontId="27" fillId="0" borderId="42" xfId="2" applyFont="1" applyBorder="1" applyAlignment="1">
      <alignment horizontal="right" vertical="center" wrapText="1"/>
    </xf>
    <xf numFmtId="0" fontId="27" fillId="0" borderId="11" xfId="2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49" fontId="90" fillId="3" borderId="13" xfId="0" applyNumberFormat="1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49" fontId="11" fillId="0" borderId="52" xfId="5" applyNumberFormat="1" applyFont="1" applyBorder="1" applyAlignment="1">
      <alignment horizontal="left" vertical="center"/>
    </xf>
    <xf numFmtId="0" fontId="11" fillId="0" borderId="52" xfId="5" applyFont="1" applyBorder="1" applyAlignment="1">
      <alignment horizontal="left"/>
    </xf>
    <xf numFmtId="0" fontId="9" fillId="0" borderId="52" xfId="5" applyFont="1" applyBorder="1"/>
    <xf numFmtId="0" fontId="9" fillId="0" borderId="52" xfId="5" applyFont="1" applyBorder="1" applyAlignment="1">
      <alignment horizontal="right"/>
    </xf>
    <xf numFmtId="0" fontId="10" fillId="0" borderId="0" xfId="5" applyFont="1" applyAlignment="1">
      <alignment vertical="center"/>
    </xf>
    <xf numFmtId="49" fontId="11" fillId="0" borderId="0" xfId="5" applyNumberFormat="1" applyFont="1" applyAlignment="1">
      <alignment horizontal="left" vertical="center"/>
    </xf>
    <xf numFmtId="0" fontId="11" fillId="0" borderId="0" xfId="5" applyFont="1" applyAlignment="1">
      <alignment horizontal="left"/>
    </xf>
    <xf numFmtId="0" fontId="9" fillId="0" borderId="0" xfId="5" applyFont="1"/>
    <xf numFmtId="0" fontId="9" fillId="0" borderId="0" xfId="5" applyFont="1" applyAlignment="1">
      <alignment horizontal="right"/>
    </xf>
    <xf numFmtId="49" fontId="9" fillId="36" borderId="39" xfId="5" applyNumberFormat="1" applyFont="1" applyFill="1" applyBorder="1" applyAlignment="1">
      <alignment horizontal="left" vertical="center"/>
    </xf>
    <xf numFmtId="0" fontId="9" fillId="36" borderId="39" xfId="5" applyFont="1" applyFill="1" applyBorder="1" applyAlignment="1">
      <alignment horizontal="center" vertical="center"/>
    </xf>
    <xf numFmtId="0" fontId="9" fillId="36" borderId="39" xfId="5" applyFont="1" applyFill="1" applyBorder="1" applyAlignment="1">
      <alignment horizontal="right" vertical="center"/>
    </xf>
    <xf numFmtId="0" fontId="10" fillId="0" borderId="0" xfId="5" applyFont="1"/>
    <xf numFmtId="0" fontId="9" fillId="0" borderId="0" xfId="5" applyFont="1" applyAlignment="1">
      <alignment vertical="center"/>
    </xf>
    <xf numFmtId="0" fontId="8" fillId="8" borderId="46" xfId="5" applyFont="1" applyFill="1" applyBorder="1" applyAlignment="1" applyProtection="1">
      <alignment vertical="center" wrapText="1"/>
      <protection locked="0" hidden="1"/>
    </xf>
    <xf numFmtId="3" fontId="8" fillId="8" borderId="46" xfId="5" applyNumberFormat="1" applyFont="1" applyFill="1" applyBorder="1" applyAlignment="1" applyProtection="1">
      <alignment horizontal="right" vertical="center" wrapText="1"/>
      <protection locked="0" hidden="1"/>
    </xf>
    <xf numFmtId="49" fontId="13" fillId="0" borderId="0" xfId="2" applyNumberFormat="1" applyFont="1" applyAlignment="1">
      <alignment horizontal="center" vertical="center" wrapText="1"/>
    </xf>
    <xf numFmtId="2" fontId="13" fillId="0" borderId="0" xfId="6" applyNumberFormat="1" applyFont="1" applyAlignment="1">
      <alignment vertical="center" wrapText="1"/>
    </xf>
    <xf numFmtId="0" fontId="13" fillId="0" borderId="0" xfId="2" applyFont="1" applyAlignment="1">
      <alignment vertical="center" wrapText="1"/>
    </xf>
    <xf numFmtId="2" fontId="13" fillId="0" borderId="0" xfId="6" applyNumberFormat="1" applyFont="1" applyAlignment="1">
      <alignment vertical="center"/>
    </xf>
    <xf numFmtId="0" fontId="13" fillId="0" borderId="0" xfId="5" applyFont="1"/>
    <xf numFmtId="0" fontId="13" fillId="0" borderId="0" xfId="5" applyFont="1" applyAlignment="1" applyProtection="1">
      <alignment vertical="center" wrapText="1"/>
      <protection locked="0" hidden="1"/>
    </xf>
    <xf numFmtId="0" fontId="13" fillId="0" borderId="0" xfId="5" applyFont="1" applyAlignment="1">
      <alignment horizontal="right" vertical="center" wrapText="1"/>
    </xf>
    <xf numFmtId="0" fontId="9" fillId="0" borderId="0" xfId="5" applyFont="1" applyAlignment="1">
      <alignment horizontal="right" vertical="center" wrapText="1"/>
    </xf>
    <xf numFmtId="2" fontId="10" fillId="0" borderId="0" xfId="5" applyNumberFormat="1" applyFont="1" applyAlignment="1">
      <alignment vertical="center" wrapText="1"/>
    </xf>
    <xf numFmtId="0" fontId="9" fillId="0" borderId="0" xfId="5" applyFont="1" applyAlignment="1">
      <alignment horizontal="right" vertical="center"/>
    </xf>
    <xf numFmtId="0" fontId="10" fillId="0" borderId="0" xfId="5" applyFont="1" applyAlignment="1">
      <alignment wrapText="1"/>
    </xf>
    <xf numFmtId="3" fontId="10" fillId="0" borderId="0" xfId="3" applyNumberFormat="1" applyFont="1" applyBorder="1" applyAlignment="1">
      <alignment horizontal="right"/>
    </xf>
    <xf numFmtId="49" fontId="10" fillId="0" borderId="20" xfId="2" applyNumberFormat="1" applyFont="1" applyBorder="1" applyAlignment="1">
      <alignment horizontal="center" vertical="center" wrapText="1"/>
    </xf>
    <xf numFmtId="0" fontId="6" fillId="0" borderId="20" xfId="2" applyFont="1" applyBorder="1" applyAlignment="1">
      <alignment horizontal="left" vertical="center" wrapText="1"/>
    </xf>
    <xf numFmtId="3" fontId="6" fillId="0" borderId="20" xfId="2" applyNumberFormat="1" applyFont="1" applyBorder="1" applyAlignment="1">
      <alignment horizontal="right" vertical="center" wrapText="1"/>
    </xf>
    <xf numFmtId="3" fontId="10" fillId="0" borderId="0" xfId="5" applyNumberFormat="1" applyFont="1"/>
    <xf numFmtId="0" fontId="10" fillId="0" borderId="0" xfId="5" applyFont="1" applyAlignment="1">
      <alignment horizontal="right" vertical="center"/>
    </xf>
    <xf numFmtId="0" fontId="8" fillId="0" borderId="0" xfId="5" applyFont="1" applyAlignment="1">
      <alignment horizontal="center" vertical="top"/>
    </xf>
    <xf numFmtId="0" fontId="10" fillId="0" borderId="0" xfId="5" applyFont="1" applyAlignment="1">
      <alignment vertical="top" wrapText="1"/>
    </xf>
    <xf numFmtId="3" fontId="10" fillId="0" borderId="0" xfId="2" applyNumberFormat="1" applyFont="1" applyAlignment="1">
      <alignment horizontal="right"/>
    </xf>
    <xf numFmtId="2" fontId="8" fillId="0" borderId="1" xfId="1" applyNumberFormat="1" applyFont="1" applyBorder="1" applyAlignment="1">
      <alignment horizontal="right" vertical="center" wrapText="1"/>
    </xf>
    <xf numFmtId="0" fontId="91" fillId="9" borderId="12" xfId="0" applyFont="1" applyFill="1" applyBorder="1" applyAlignment="1">
      <alignment horizontal="center" vertical="center"/>
    </xf>
    <xf numFmtId="0" fontId="92" fillId="0" borderId="12" xfId="0" applyFont="1" applyBorder="1" applyAlignment="1">
      <alignment horizontal="center" vertical="center"/>
    </xf>
    <xf numFmtId="0" fontId="31" fillId="0" borderId="12" xfId="2" applyFont="1" applyBorder="1" applyAlignment="1">
      <alignment horizontal="left" vertical="center" wrapText="1"/>
    </xf>
    <xf numFmtId="0" fontId="31" fillId="0" borderId="12" xfId="0" applyFont="1" applyBorder="1" applyAlignment="1">
      <alignment horizontal="center" vertical="center"/>
    </xf>
    <xf numFmtId="166" fontId="93" fillId="0" borderId="1" xfId="1" applyNumberFormat="1" applyFont="1" applyBorder="1" applyAlignment="1">
      <alignment horizontal="right" vertical="center" wrapText="1"/>
    </xf>
    <xf numFmtId="166" fontId="31" fillId="0" borderId="1" xfId="1" applyNumberFormat="1" applyFont="1" applyBorder="1" applyAlignment="1">
      <alignment horizontal="right" vertical="center" wrapText="1"/>
    </xf>
    <xf numFmtId="166" fontId="32" fillId="0" borderId="1" xfId="1" applyNumberFormat="1" applyFont="1" applyBorder="1" applyAlignment="1">
      <alignment horizontal="right" vertical="center" wrapText="1"/>
    </xf>
    <xf numFmtId="0" fontId="91" fillId="0" borderId="0" xfId="0" applyFont="1"/>
    <xf numFmtId="4" fontId="31" fillId="9" borderId="12" xfId="0" applyNumberFormat="1" applyFont="1" applyFill="1" applyBorder="1" applyAlignment="1">
      <alignment horizontal="center" vertical="center"/>
    </xf>
    <xf numFmtId="166" fontId="94" fillId="6" borderId="39" xfId="1" applyNumberFormat="1" applyFont="1" applyFill="1" applyBorder="1" applyAlignment="1">
      <alignment horizontal="right" vertical="center"/>
    </xf>
    <xf numFmtId="166" fontId="94" fillId="6" borderId="8" xfId="1" applyNumberFormat="1" applyFont="1" applyFill="1" applyBorder="1" applyAlignment="1">
      <alignment horizontal="right" vertical="center"/>
    </xf>
    <xf numFmtId="0" fontId="94" fillId="0" borderId="0" xfId="0" applyFont="1" applyAlignment="1">
      <alignment horizontal="right"/>
    </xf>
    <xf numFmtId="166" fontId="95" fillId="0" borderId="13" xfId="1" applyNumberFormat="1" applyFont="1" applyBorder="1" applyAlignment="1">
      <alignment horizontal="right" vertical="center"/>
    </xf>
    <xf numFmtId="166" fontId="11" fillId="6" borderId="44" xfId="0" applyNumberFormat="1" applyFont="1" applyFill="1" applyBorder="1" applyAlignment="1">
      <alignment vertical="center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30" fillId="0" borderId="10" xfId="0" applyFont="1" applyBorder="1" applyAlignment="1">
      <alignment vertical="center" wrapText="1"/>
    </xf>
    <xf numFmtId="0" fontId="96" fillId="0" borderId="11" xfId="2" applyFont="1" applyBorder="1" applyAlignment="1">
      <alignment vertical="center" wrapText="1"/>
    </xf>
    <xf numFmtId="1" fontId="30" fillId="37" borderId="39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24" xfId="0" applyBorder="1" applyAlignment="1">
      <alignment vertical="center" wrapText="1"/>
    </xf>
    <xf numFmtId="0" fontId="0" fillId="0" borderId="41" xfId="0" applyBorder="1" applyAlignment="1">
      <alignment vertical="center"/>
    </xf>
    <xf numFmtId="166" fontId="4" fillId="0" borderId="7" xfId="2" applyNumberFormat="1" applyFont="1" applyBorder="1" applyAlignment="1">
      <alignment vertical="center" wrapText="1"/>
    </xf>
    <xf numFmtId="3" fontId="7" fillId="2" borderId="54" xfId="2" applyNumberFormat="1" applyFont="1" applyFill="1" applyBorder="1" applyAlignment="1">
      <alignment horizontal="center" vertical="center" wrapText="1"/>
    </xf>
    <xf numFmtId="0" fontId="27" fillId="0" borderId="51" xfId="2" applyFont="1" applyBorder="1" applyAlignment="1">
      <alignment horizontal="right" vertical="center" wrapText="1"/>
    </xf>
    <xf numFmtId="0" fontId="4" fillId="0" borderId="55" xfId="2" applyFont="1" applyBorder="1" applyAlignment="1">
      <alignment horizontal="center" vertical="center" wrapText="1"/>
    </xf>
    <xf numFmtId="166" fontId="94" fillId="6" borderId="56" xfId="1" applyNumberFormat="1" applyFont="1" applyFill="1" applyBorder="1" applyAlignment="1">
      <alignment horizontal="right" vertical="center"/>
    </xf>
    <xf numFmtId="166" fontId="94" fillId="6" borderId="57" xfId="1" applyNumberFormat="1" applyFont="1" applyFill="1" applyBorder="1" applyAlignment="1">
      <alignment horizontal="right" vertical="center"/>
    </xf>
    <xf numFmtId="166" fontId="0" fillId="6" borderId="58" xfId="0" applyNumberFormat="1" applyFill="1" applyBorder="1" applyAlignment="1">
      <alignment vertical="center"/>
    </xf>
    <xf numFmtId="0" fontId="27" fillId="0" borderId="53" xfId="2" applyFont="1" applyBorder="1" applyAlignment="1">
      <alignment horizontal="center" vertical="center" wrapText="1"/>
    </xf>
    <xf numFmtId="166" fontId="11" fillId="6" borderId="53" xfId="0" applyNumberFormat="1" applyFont="1" applyFill="1" applyBorder="1" applyAlignment="1">
      <alignment vertical="center"/>
    </xf>
    <xf numFmtId="0" fontId="0" fillId="0" borderId="39" xfId="0" applyBorder="1" applyAlignment="1">
      <alignment horizontal="left" vertical="center" wrapText="1"/>
    </xf>
    <xf numFmtId="0" fontId="91" fillId="0" borderId="1" xfId="0" applyFont="1" applyBorder="1" applyAlignment="1">
      <alignment horizontal="center" vertical="center"/>
    </xf>
    <xf numFmtId="0" fontId="31" fillId="0" borderId="3" xfId="2" applyFont="1" applyBorder="1" applyAlignment="1">
      <alignment horizontal="left" vertical="center" wrapText="1"/>
    </xf>
    <xf numFmtId="3" fontId="31" fillId="0" borderId="3" xfId="0" applyNumberFormat="1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91" fillId="0" borderId="59" xfId="0" applyFont="1" applyBorder="1" applyAlignment="1">
      <alignment horizontal="left" vertical="center" wrapText="1"/>
    </xf>
    <xf numFmtId="167" fontId="31" fillId="0" borderId="3" xfId="0" applyNumberFormat="1" applyFont="1" applyBorder="1" applyAlignment="1">
      <alignment horizontal="center" vertical="center"/>
    </xf>
    <xf numFmtId="0" fontId="91" fillId="0" borderId="39" xfId="0" applyFont="1" applyBorder="1" applyAlignment="1">
      <alignment horizontal="left" vertical="center" wrapText="1"/>
    </xf>
    <xf numFmtId="0" fontId="91" fillId="0" borderId="2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166" fontId="93" fillId="0" borderId="39" xfId="1" applyNumberFormat="1" applyFont="1" applyBorder="1" applyAlignment="1">
      <alignment horizontal="right" vertical="center" wrapText="1"/>
    </xf>
    <xf numFmtId="166" fontId="31" fillId="0" borderId="39" xfId="1" applyNumberFormat="1" applyFont="1" applyBorder="1" applyAlignment="1">
      <alignment horizontal="right" vertical="center" wrapText="1"/>
    </xf>
    <xf numFmtId="166" fontId="32" fillId="0" borderId="39" xfId="1" applyNumberFormat="1" applyFont="1" applyBorder="1" applyAlignment="1">
      <alignment horizontal="right" vertical="center" wrapText="1"/>
    </xf>
    <xf numFmtId="0" fontId="91" fillId="6" borderId="39" xfId="0" applyFont="1" applyFill="1" applyBorder="1" applyAlignment="1">
      <alignment horizontal="center" vertical="center"/>
    </xf>
    <xf numFmtId="0" fontId="92" fillId="6" borderId="39" xfId="0" applyFont="1" applyFill="1" applyBorder="1" applyAlignment="1">
      <alignment horizontal="center" vertical="center"/>
    </xf>
    <xf numFmtId="0" fontId="31" fillId="6" borderId="39" xfId="2" applyFont="1" applyFill="1" applyBorder="1" applyAlignment="1">
      <alignment horizontal="left" vertical="center" wrapText="1"/>
    </xf>
    <xf numFmtId="4" fontId="31" fillId="6" borderId="39" xfId="0" applyNumberFormat="1" applyFont="1" applyFill="1" applyBorder="1" applyAlignment="1">
      <alignment horizontal="center" vertical="center"/>
    </xf>
    <xf numFmtId="166" fontId="15" fillId="0" borderId="0" xfId="1" applyNumberFormat="1" applyFont="1" applyFill="1" applyBorder="1" applyAlignment="1">
      <alignment horizontal="right" vertical="center" wrapText="1"/>
    </xf>
    <xf numFmtId="0" fontId="30" fillId="0" borderId="2" xfId="0" applyFont="1" applyBorder="1" applyAlignment="1">
      <alignment horizontal="left" vertical="center"/>
    </xf>
    <xf numFmtId="0" fontId="8" fillId="8" borderId="50" xfId="5" applyFont="1" applyFill="1" applyBorder="1" applyAlignment="1" applyProtection="1">
      <alignment vertical="center" wrapText="1"/>
      <protection locked="0" hidden="1"/>
    </xf>
    <xf numFmtId="166" fontId="97" fillId="0" borderId="0" xfId="0" applyNumberFormat="1" applyFont="1"/>
    <xf numFmtId="165" fontId="0" fillId="0" borderId="0" xfId="0" applyNumberFormat="1"/>
    <xf numFmtId="166" fontId="10" fillId="0" borderId="1" xfId="1" applyNumberFormat="1" applyFont="1" applyBorder="1" applyAlignment="1">
      <alignment horizontal="left" vertical="center" wrapText="1"/>
    </xf>
    <xf numFmtId="0" fontId="98" fillId="0" borderId="0" xfId="2" applyFont="1" applyAlignment="1">
      <alignment vertical="center" wrapText="1"/>
    </xf>
    <xf numFmtId="0" fontId="98" fillId="0" borderId="0" xfId="5" applyFont="1" applyAlignment="1" applyProtection="1">
      <alignment vertical="center" wrapText="1"/>
      <protection locked="0" hidden="1"/>
    </xf>
    <xf numFmtId="0" fontId="98" fillId="0" borderId="0" xfId="5" applyFont="1" applyAlignment="1">
      <alignment horizontal="right" vertical="center" wrapText="1"/>
    </xf>
    <xf numFmtId="0" fontId="98" fillId="0" borderId="0" xfId="5" applyFont="1" applyAlignment="1">
      <alignment horizontal="right" vertical="center"/>
    </xf>
    <xf numFmtId="0" fontId="9" fillId="36" borderId="56" xfId="5" applyFont="1" applyFill="1" applyBorder="1" applyAlignment="1">
      <alignment horizontal="center" vertical="center" wrapText="1"/>
    </xf>
    <xf numFmtId="49" fontId="9" fillId="36" borderId="39" xfId="5" applyNumberFormat="1" applyFont="1" applyFill="1" applyBorder="1" applyAlignment="1">
      <alignment horizontal="center" vertical="center" wrapText="1"/>
    </xf>
    <xf numFmtId="166" fontId="15" fillId="0" borderId="60" xfId="1" applyNumberFormat="1" applyFont="1" applyFill="1" applyBorder="1" applyAlignment="1">
      <alignment horizontal="right" vertical="center" wrapText="1"/>
    </xf>
    <xf numFmtId="166" fontId="15" fillId="0" borderId="61" xfId="1" applyNumberFormat="1" applyFont="1" applyFill="1" applyBorder="1" applyAlignment="1">
      <alignment horizontal="right" vertical="center" wrapText="1"/>
    </xf>
    <xf numFmtId="166" fontId="11" fillId="0" borderId="0" xfId="0" applyNumberFormat="1" applyFont="1" applyAlignment="1">
      <alignment vertical="center"/>
    </xf>
    <xf numFmtId="0" fontId="30" fillId="0" borderId="41" xfId="0" applyFont="1" applyBorder="1" applyAlignment="1">
      <alignment vertical="center"/>
    </xf>
    <xf numFmtId="0" fontId="8" fillId="0" borderId="1" xfId="1" applyNumberFormat="1" applyFont="1" applyBorder="1" applyAlignment="1">
      <alignment horizontal="right" vertical="center" wrapText="1"/>
    </xf>
    <xf numFmtId="3" fontId="8" fillId="8" borderId="39" xfId="5" applyNumberFormat="1" applyFont="1" applyFill="1" applyBorder="1" applyAlignment="1" applyProtection="1">
      <alignment horizontal="right" vertical="center" wrapText="1"/>
      <protection locked="0" hidden="1"/>
    </xf>
    <xf numFmtId="0" fontId="6" fillId="0" borderId="0" xfId="2" applyFont="1" applyAlignment="1">
      <alignment horizontal="left" vertical="center" wrapText="1"/>
    </xf>
    <xf numFmtId="3" fontId="6" fillId="0" borderId="0" xfId="2" applyNumberFormat="1" applyFont="1" applyAlignment="1">
      <alignment horizontal="right" vertical="center" wrapText="1"/>
    </xf>
    <xf numFmtId="0" fontId="3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7" fillId="2" borderId="14" xfId="2" applyFont="1" applyFill="1" applyBorder="1" applyAlignment="1">
      <alignment horizontal="center" vertical="center" wrapText="1"/>
    </xf>
    <xf numFmtId="0" fontId="7" fillId="2" borderId="15" xfId="2" applyFont="1" applyFill="1" applyBorder="1" applyAlignment="1">
      <alignment horizontal="center" vertical="center" wrapText="1"/>
    </xf>
    <xf numFmtId="0" fontId="25" fillId="0" borderId="16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left" vertical="center" wrapText="1"/>
    </xf>
    <xf numFmtId="166" fontId="15" fillId="0" borderId="16" xfId="1" applyNumberFormat="1" applyFont="1" applyFill="1" applyBorder="1" applyAlignment="1">
      <alignment horizontal="center" vertical="center" wrapText="1"/>
    </xf>
    <xf numFmtId="166" fontId="15" fillId="0" borderId="22" xfId="1" applyNumberFormat="1" applyFont="1" applyFill="1" applyBorder="1" applyAlignment="1">
      <alignment horizontal="center" vertical="center" wrapText="1"/>
    </xf>
    <xf numFmtId="166" fontId="15" fillId="0" borderId="23" xfId="1" applyNumberFormat="1" applyFont="1" applyFill="1" applyBorder="1" applyAlignment="1">
      <alignment horizontal="center" vertical="center" wrapText="1"/>
    </xf>
    <xf numFmtId="0" fontId="8" fillId="8" borderId="26" xfId="0" applyFont="1" applyFill="1" applyBorder="1" applyAlignment="1" applyProtection="1">
      <alignment horizontal="left" vertical="center" wrapText="1"/>
      <protection locked="0" hidden="1"/>
    </xf>
    <xf numFmtId="0" fontId="8" fillId="8" borderId="5" xfId="0" applyFont="1" applyFill="1" applyBorder="1" applyAlignment="1" applyProtection="1">
      <alignment horizontal="left" vertical="center" wrapText="1"/>
      <protection locked="0" hidden="1"/>
    </xf>
    <xf numFmtId="0" fontId="25" fillId="0" borderId="43" xfId="0" applyFont="1" applyBorder="1" applyAlignment="1">
      <alignment horizontal="left" vertical="center" wrapText="1"/>
    </xf>
    <xf numFmtId="166" fontId="15" fillId="0" borderId="43" xfId="1" applyNumberFormat="1" applyFont="1" applyFill="1" applyBorder="1" applyAlignment="1">
      <alignment horizontal="center" vertical="center" wrapText="1"/>
    </xf>
    <xf numFmtId="1" fontId="30" fillId="37" borderId="50" xfId="0" applyNumberFormat="1" applyFont="1" applyFill="1" applyBorder="1" applyAlignment="1">
      <alignment horizontal="center" vertical="center" wrapText="1"/>
    </xf>
    <xf numFmtId="1" fontId="30" fillId="37" borderId="47" xfId="0" applyNumberFormat="1" applyFont="1" applyFill="1" applyBorder="1" applyAlignment="1">
      <alignment horizontal="center" vertical="center" wrapText="1"/>
    </xf>
    <xf numFmtId="166" fontId="15" fillId="0" borderId="63" xfId="1" applyNumberFormat="1" applyFont="1" applyFill="1" applyBorder="1" applyAlignment="1">
      <alignment horizontal="center" vertical="center" wrapText="1"/>
    </xf>
    <xf numFmtId="166" fontId="15" fillId="0" borderId="64" xfId="1" applyNumberFormat="1" applyFont="1" applyFill="1" applyBorder="1" applyAlignment="1">
      <alignment horizontal="center" vertical="center" wrapText="1"/>
    </xf>
    <xf numFmtId="166" fontId="8" fillId="0" borderId="63" xfId="1" applyNumberFormat="1" applyFont="1" applyFill="1" applyBorder="1" applyAlignment="1">
      <alignment horizontal="center" vertical="center" wrapText="1"/>
    </xf>
    <xf numFmtId="166" fontId="8" fillId="0" borderId="64" xfId="1" applyNumberFormat="1" applyFont="1" applyFill="1" applyBorder="1" applyAlignment="1">
      <alignment horizontal="center" vertical="center" wrapText="1"/>
    </xf>
    <xf numFmtId="0" fontId="8" fillId="8" borderId="50" xfId="5" applyFont="1" applyFill="1" applyBorder="1" applyAlignment="1" applyProtection="1">
      <alignment horizontal="center" vertical="center" wrapText="1"/>
      <protection locked="0" hidden="1"/>
    </xf>
    <xf numFmtId="0" fontId="8" fillId="8" borderId="46" xfId="5" applyFont="1" applyFill="1" applyBorder="1" applyAlignment="1" applyProtection="1">
      <alignment horizontal="center" vertical="center" wrapText="1"/>
      <protection locked="0" hidden="1"/>
    </xf>
    <xf numFmtId="165" fontId="11" fillId="0" borderId="0" xfId="5" applyNumberFormat="1" applyFont="1" applyAlignment="1">
      <alignment horizontal="right"/>
    </xf>
    <xf numFmtId="166" fontId="99" fillId="0" borderId="50" xfId="1" applyNumberFormat="1" applyFont="1" applyBorder="1" applyAlignment="1">
      <alignment horizontal="center" vertical="center" wrapText="1"/>
    </xf>
    <xf numFmtId="166" fontId="99" fillId="0" borderId="47" xfId="1" applyNumberFormat="1" applyFont="1" applyBorder="1" applyAlignment="1">
      <alignment horizontal="center" vertical="center" wrapText="1"/>
    </xf>
    <xf numFmtId="0" fontId="30" fillId="0" borderId="50" xfId="0" applyFont="1" applyBorder="1" applyAlignment="1">
      <alignment horizontal="left" vertical="center" wrapText="1"/>
    </xf>
    <xf numFmtId="0" fontId="30" fillId="0" borderId="46" xfId="0" applyFont="1" applyBorder="1" applyAlignment="1">
      <alignment horizontal="left" vertical="center" wrapText="1"/>
    </xf>
    <xf numFmtId="0" fontId="30" fillId="0" borderId="47" xfId="0" applyFont="1" applyBorder="1" applyAlignment="1">
      <alignment horizontal="left" vertical="center" wrapText="1"/>
    </xf>
    <xf numFmtId="166" fontId="15" fillId="0" borderId="62" xfId="1" applyNumberFormat="1" applyFont="1" applyFill="1" applyBorder="1" applyAlignment="1">
      <alignment horizontal="center" vertical="center" wrapText="1"/>
    </xf>
    <xf numFmtId="165" fontId="11" fillId="38" borderId="50" xfId="5" applyNumberFormat="1" applyFont="1" applyFill="1" applyBorder="1" applyAlignment="1">
      <alignment horizontal="right"/>
    </xf>
    <xf numFmtId="165" fontId="11" fillId="38" borderId="47" xfId="5" applyNumberFormat="1" applyFont="1" applyFill="1" applyBorder="1" applyAlignment="1">
      <alignment horizontal="right"/>
    </xf>
  </cellXfs>
  <cellStyles count="221">
    <cellStyle name="_x000a__x000a_JournalTemplate=C:\COMFO\CTALK\JOURSTD.TPL_x000a__x000a_LbStateAddress=3 3 0 251 1 89 2 311_x000a__x000a_LbStateJou 3" xfId="9" xr:uid="{00000000-0005-0000-0000-000000000000}"/>
    <cellStyle name="_MAGNA PN, CENA-060331" xfId="38" xr:uid="{272FD181-ED1A-4AC7-801E-D0B736E09810}"/>
    <cellStyle name="_PN Cena-PLUS-strukt.inv-060417-pracovní" xfId="39" xr:uid="{7195FA3C-FB7E-4EB1-AEF2-2BE591E634C7}"/>
    <cellStyle name="_Rozdílový výkaz + DOD č.1 - HK TERMINÁL -  070302" xfId="40" xr:uid="{FA7B08F7-0E3A-4D46-8AD2-1E2AA47D7107}"/>
    <cellStyle name="_Rozdílový výkaz PN + DOD č.1,2 - HK TERMINÁL -  070319" xfId="41" xr:uid="{D24687A2-B2B3-4AC7-A420-D17E89C674B9}"/>
    <cellStyle name="_Rozdílový výkaz PN + DOD č.1,2,3 - HK TERMINÁL -  070320" xfId="42" xr:uid="{64464272-E639-4E07-8A02-382F985B8336}"/>
    <cellStyle name="_Smluvní rozpočet - HK terminál -  sleva 060905" xfId="43" xr:uid="{03ACE425-2FB9-4526-A33F-7DD23F3F5376}"/>
    <cellStyle name="20 % – Zvýraznění1" xfId="44" xr:uid="{BFEAB21D-3893-4600-9BDB-54CC4A5D30AC}"/>
    <cellStyle name="20 % – Zvýraznění2" xfId="45" xr:uid="{2181107D-1B8C-4C83-84FA-9DE24540E64C}"/>
    <cellStyle name="20 % – Zvýraznění3" xfId="46" xr:uid="{CEE309E4-5656-423C-B1D1-5E962C798372}"/>
    <cellStyle name="20 % – Zvýraznění4" xfId="47" xr:uid="{E1527E37-C87C-468C-ABA1-05BF020A7E11}"/>
    <cellStyle name="20 % – Zvýraznění5" xfId="48" xr:uid="{E0BD30AF-B935-459A-8624-ABF922E5F0FC}"/>
    <cellStyle name="20 % – Zvýraznění6" xfId="49" xr:uid="{FD1D9BEE-98E3-4CEF-BA57-62C8E976FBEE}"/>
    <cellStyle name="20 % - zvýraznenie1" xfId="50" xr:uid="{5B309E31-7ECD-41D4-AC5A-330B60B82689}"/>
    <cellStyle name="20 % - zvýraznenie2" xfId="51" xr:uid="{E0FEA25B-D683-4A97-8EE5-6676E8321BC2}"/>
    <cellStyle name="20 % - zvýraznenie3" xfId="52" xr:uid="{81F1C2E6-1015-4222-8752-C87855D4BA81}"/>
    <cellStyle name="20 % - zvýraznenie4" xfId="53" xr:uid="{C7782130-69C1-474C-9A2F-48CE701D8582}"/>
    <cellStyle name="20 % - zvýraznenie5" xfId="54" xr:uid="{86F0175E-BE84-42CE-8E84-EEEE3323E8BA}"/>
    <cellStyle name="20 % - zvýraznenie6" xfId="55" xr:uid="{FD54FCCA-E143-4D4B-8746-5B83CDA49222}"/>
    <cellStyle name="20% - Accent1 2" xfId="56" xr:uid="{F1196E13-D4F0-4696-820F-DB2EADFA1743}"/>
    <cellStyle name="20% - Accent2 2" xfId="57" xr:uid="{2896CCDB-1685-40D2-B82B-589E77FBA2FC}"/>
    <cellStyle name="20% - Accent3 2" xfId="58" xr:uid="{D7BDA3DE-04B2-49D8-AA04-7854545BE850}"/>
    <cellStyle name="20% - Accent4 2" xfId="59" xr:uid="{D9882E9B-5D39-4D75-A3EF-B356805F52DD}"/>
    <cellStyle name="20% - Accent5 2" xfId="60" xr:uid="{27FEE6AA-DAD1-4FD3-9EA0-94AF119C2550}"/>
    <cellStyle name="20% - Accent6 2" xfId="61" xr:uid="{9302F10C-0AE4-40A7-8D6E-27F9EE8AAC73}"/>
    <cellStyle name="20% - Akzent1" xfId="62" xr:uid="{9B432899-6331-4483-8AE9-4B45FADB8A28}"/>
    <cellStyle name="20% - Akzent2" xfId="63" xr:uid="{56A58382-2097-421B-9EBF-76696ECE1617}"/>
    <cellStyle name="20% - Akzent3" xfId="64" xr:uid="{9C69ACF5-D111-4DD6-B979-667DF1748704}"/>
    <cellStyle name="20% - Akzent4" xfId="65" xr:uid="{D46F2955-C585-464F-A32C-825596B5A7B4}"/>
    <cellStyle name="20% - Akzent5" xfId="66" xr:uid="{DE6189FB-7EDA-4D84-807C-0F5CBF2530F4}"/>
    <cellStyle name="20% - Akzent6" xfId="67" xr:uid="{5CC146E1-751C-464D-9F83-1449567EC9A7}"/>
    <cellStyle name="40 % – Zvýraznění1" xfId="68" xr:uid="{24CD2D47-7EB4-432B-8E9D-A6BC8914738D}"/>
    <cellStyle name="40 % – Zvýraznění2" xfId="69" xr:uid="{A9AFAED7-8FB9-4C09-91D9-E874E4F16831}"/>
    <cellStyle name="40 % – Zvýraznění3" xfId="70" xr:uid="{5D0080ED-8FDB-4701-8EA2-F0CF5D9F18C8}"/>
    <cellStyle name="40 % – Zvýraznění4" xfId="71" xr:uid="{061A54CA-96E9-40CD-B9AE-2E9705BFF6A4}"/>
    <cellStyle name="40 % – Zvýraznění5" xfId="72" xr:uid="{F46A1FDB-E8DF-44C3-9E69-2C1EFC8906E1}"/>
    <cellStyle name="40 % – Zvýraznění6" xfId="73" xr:uid="{84CE6CFE-7464-46A4-8DF4-03C08193F90E}"/>
    <cellStyle name="40 % - zvýraznenie1" xfId="74" xr:uid="{53248A66-59BA-4C6E-B1FB-923DD87FD33E}"/>
    <cellStyle name="40 % - zvýraznenie2" xfId="75" xr:uid="{839B85A9-2BB6-49EF-AC84-88AB5F30ABE0}"/>
    <cellStyle name="40 % - zvýraznenie3" xfId="76" xr:uid="{147C6F21-4DC6-4ADC-AF4A-F3C80F911873}"/>
    <cellStyle name="40 % - zvýraznenie4" xfId="77" xr:uid="{6B986177-0C4E-4FBF-BA0D-99308D00D063}"/>
    <cellStyle name="40 % - zvýraznenie5" xfId="78" xr:uid="{85E22DA7-3389-4541-969A-A97CE5CBEE90}"/>
    <cellStyle name="40 % - zvýraznenie6" xfId="79" xr:uid="{D8063791-04C3-4372-B81B-C22E6381B614}"/>
    <cellStyle name="40% - Accent1 2" xfId="80" xr:uid="{D16F742B-F0DE-4129-AED4-FA57E65F2A0D}"/>
    <cellStyle name="40% - Accent2 2" xfId="81" xr:uid="{7ABD5E31-36ED-479E-9EE8-5D5976D7ED46}"/>
    <cellStyle name="40% - Accent3 2" xfId="82" xr:uid="{1FD91E3C-110E-462E-B286-36DC1FA0B64C}"/>
    <cellStyle name="40% - Accent4 2" xfId="83" xr:uid="{DB6759B4-7484-4F85-85F4-3D9081451D29}"/>
    <cellStyle name="40% - Accent5 2" xfId="84" xr:uid="{46C7B74D-83BF-4220-BF53-02B3624E2314}"/>
    <cellStyle name="40% - Accent6 2" xfId="85" xr:uid="{BA339677-6513-4B40-A94B-884BB4FE0E4F}"/>
    <cellStyle name="40% - Akzent1" xfId="86" xr:uid="{564DBE0C-7E06-49B8-B0CF-F26CADED4EC3}"/>
    <cellStyle name="40% - Akzent2" xfId="87" xr:uid="{A69AD0CE-DB96-408B-8241-5F71092B0E2C}"/>
    <cellStyle name="40% - Akzent3" xfId="88" xr:uid="{72B65288-D8BF-46F2-BFEA-9D0627F95B01}"/>
    <cellStyle name="40% - Akzent4" xfId="89" xr:uid="{B9150DE9-1771-4023-8B51-6D52A5C26B62}"/>
    <cellStyle name="40% - Akzent5" xfId="90" xr:uid="{7ECF3C59-7D66-4C64-8A59-05F4B15C51D8}"/>
    <cellStyle name="40% - Akzent6" xfId="91" xr:uid="{1EC1EC5B-488F-4A53-9715-F879C1125484}"/>
    <cellStyle name="60 % – Zvýraznění1" xfId="92" xr:uid="{39102E15-40F3-4B78-B03E-4F2C7296D236}"/>
    <cellStyle name="60 % – Zvýraznění2" xfId="93" xr:uid="{6093F215-42EF-4990-8CB9-9B9883B6B544}"/>
    <cellStyle name="60 % – Zvýraznění3" xfId="94" xr:uid="{778A5894-FC37-4E66-8A99-BEC2E1D66B76}"/>
    <cellStyle name="60 % – Zvýraznění4" xfId="95" xr:uid="{C157CC7D-0F3E-44EA-85A1-DFF1234566EB}"/>
    <cellStyle name="60 % – Zvýraznění5" xfId="96" xr:uid="{5E2A1379-4FA7-472C-9C1A-0988D5DB5BE4}"/>
    <cellStyle name="60 % – Zvýraznění6" xfId="97" xr:uid="{A43C9EFA-8D77-4CD6-B93D-FA5EE2058B4D}"/>
    <cellStyle name="60 % - zvýraznenie1" xfId="98" xr:uid="{BC8F38A6-3DE2-4D56-9E24-25D084DBCF80}"/>
    <cellStyle name="60 % - zvýraznenie2" xfId="99" xr:uid="{8E39F0E3-6E38-4246-828E-06D0435DDAC0}"/>
    <cellStyle name="60 % - zvýraznenie3" xfId="100" xr:uid="{B970D1CB-9F4E-42BA-BC96-E02A3D347FBF}"/>
    <cellStyle name="60 % - zvýraznenie4" xfId="101" xr:uid="{2730398A-51B3-414F-9061-69D59A9E60A9}"/>
    <cellStyle name="60 % - zvýraznenie5" xfId="102" xr:uid="{7776C74D-684E-44DF-A9A8-67CC60FBCA9C}"/>
    <cellStyle name="60 % - zvýraznenie6" xfId="103" xr:uid="{7B5EA43F-6639-4926-9BCD-DEE054A83BE6}"/>
    <cellStyle name="60% - Accent1 2" xfId="104" xr:uid="{ECD760F7-D37C-4C9D-A8E9-EE1CB965B4B3}"/>
    <cellStyle name="60% - Accent2 2" xfId="105" xr:uid="{06881319-1252-45F6-AABD-5C02857E04C5}"/>
    <cellStyle name="60% - Accent3 2" xfId="106" xr:uid="{8CF66A5D-E2F1-4F6B-A827-903127480814}"/>
    <cellStyle name="60% - Accent4 2" xfId="107" xr:uid="{9413ECC5-6693-4D5B-8698-5BCB2168831C}"/>
    <cellStyle name="60% - Accent5 2" xfId="108" xr:uid="{BC44953B-11B4-4225-BC63-E6C10334F30A}"/>
    <cellStyle name="60% - Accent6 2" xfId="109" xr:uid="{65F0C76A-0E54-4360-A844-C880BCA65878}"/>
    <cellStyle name="60% - Akzent1" xfId="110" xr:uid="{9613A397-718F-49B3-8E16-5030E407BECD}"/>
    <cellStyle name="60% - Akzent2" xfId="111" xr:uid="{67B4D73E-A9F3-4FF4-B381-028604D12EA6}"/>
    <cellStyle name="60% - Akzent3" xfId="112" xr:uid="{DC5B896F-C63C-40AF-BCC5-3D2441C247B9}"/>
    <cellStyle name="60% - Akzent4" xfId="113" xr:uid="{EB9BE127-0AC4-4DE1-92CF-C7DFCAD4B837}"/>
    <cellStyle name="60% - Akzent5" xfId="114" xr:uid="{8EA47401-51AD-4E44-96F6-6EEAAA1E8515}"/>
    <cellStyle name="60% - Akzent6" xfId="115" xr:uid="{73058C86-3364-47AD-9AD1-278EE095FBEC}"/>
    <cellStyle name="Accent1" xfId="116" xr:uid="{26A6DC95-A74A-41B2-8FAD-EF22B8744907}"/>
    <cellStyle name="Accent1 2" xfId="117" xr:uid="{1F0D20D5-A390-428D-928C-6336C33A9E1F}"/>
    <cellStyle name="Accent2" xfId="118" xr:uid="{67604A1B-25D4-47A4-A567-BE11749B8943}"/>
    <cellStyle name="Accent2 2" xfId="119" xr:uid="{692F7410-42FD-49F5-904D-6B1217636BA6}"/>
    <cellStyle name="Accent3" xfId="120" xr:uid="{A86D669E-29BA-413E-8F40-FCAAE2B08D68}"/>
    <cellStyle name="Accent3 2" xfId="121" xr:uid="{01158973-43D7-4E4D-8408-E9FA04E570F9}"/>
    <cellStyle name="Accent4" xfId="122" xr:uid="{7D3D0D93-4196-43A5-85BA-0B67E53A50D1}"/>
    <cellStyle name="Accent4 2" xfId="123" xr:uid="{D77F2342-832B-4E6F-A1B1-685352939634}"/>
    <cellStyle name="Accent5" xfId="124" xr:uid="{6F777DF8-9385-462A-89CA-D92004D1C327}"/>
    <cellStyle name="Accent5 2" xfId="125" xr:uid="{7FC94758-8169-4D14-B1AB-F07902387E53}"/>
    <cellStyle name="Accent6" xfId="126" xr:uid="{806F0C2B-C6BA-48A9-9562-440B3C97DBCE}"/>
    <cellStyle name="Accent6 2" xfId="127" xr:uid="{A5F43213-E3A8-4C4E-B05F-86EA9D71F82F}"/>
    <cellStyle name="Bad" xfId="128" xr:uid="{20B19455-28F9-4EB9-A58D-F81EBC160D73}"/>
    <cellStyle name="Bad 2" xfId="129" xr:uid="{22D9401F-DF27-4F71-A0EA-4BD29E62B4CA}"/>
    <cellStyle name="Calculation 2" xfId="130" xr:uid="{A0BC1F79-277D-41E6-AA24-2456C1032D47}"/>
    <cellStyle name="Celkem" xfId="131" xr:uid="{531750C7-FF60-4A0C-8BE7-4CC3341632EB}"/>
    <cellStyle name="Check Cell" xfId="132" xr:uid="{A289462C-D24D-4781-9977-524E03DBCAF7}"/>
    <cellStyle name="Check Cell 2" xfId="133" xr:uid="{592FBED2-559E-4FA2-99DC-17C23F559229}"/>
    <cellStyle name="Chybně" xfId="134" xr:uid="{D23DE515-7A12-48A1-A1AC-1A29A13E50AB}"/>
    <cellStyle name="Dobrá" xfId="135" xr:uid="{60AE0D4B-8DC1-47E3-B4E9-808F978BCE9F}"/>
    <cellStyle name="Euro" xfId="136" xr:uid="{10025ED8-7805-4B4A-88CC-B501941619A6}"/>
    <cellStyle name="Euro 2" xfId="137" xr:uid="{AD1EA47B-F049-479D-B37D-36E8A4BF95AD}"/>
    <cellStyle name="Excel_BuiltIn_Jó 1" xfId="8" xr:uid="{00000000-0005-0000-0000-000001000000}"/>
    <cellStyle name="Explanatory Text 2" xfId="138" xr:uid="{946E384A-CCCC-40AF-A740-D959421249D0}"/>
    <cellStyle name="Ezres" xfId="31" builtinId="3"/>
    <cellStyle name="Ezres [0] 2" xfId="20" xr:uid="{00000000-0005-0000-0000-000003000000}"/>
    <cellStyle name="Ezres [0] 2 2" xfId="27" xr:uid="{00000000-0005-0000-0000-000004000000}"/>
    <cellStyle name="Ezres [0] 3" xfId="32" xr:uid="{00000000-0005-0000-0000-000005000000}"/>
    <cellStyle name="Ezres 2" xfId="3" xr:uid="{00000000-0005-0000-0000-000006000000}"/>
    <cellStyle name="Ezres 3" xfId="29" xr:uid="{00000000-0005-0000-0000-000007000000}"/>
    <cellStyle name="Ezres 4" xfId="37" xr:uid="{8ACD8844-FDC9-48BD-9F0F-6A2EF101DB41}"/>
    <cellStyle name="Ezres 5" xfId="219" xr:uid="{57D47D98-C8F5-45B8-8E10-7B3C42C6BA98}"/>
    <cellStyle name="Good" xfId="139" xr:uid="{634B2AAD-B404-4A21-A38B-3F99BCB49DBA}"/>
    <cellStyle name="Good 2" xfId="140" xr:uid="{11E3D5DE-2090-40E1-9B37-CBFB279A801A}"/>
    <cellStyle name="Heading 1" xfId="141" xr:uid="{60387C07-ADA3-475F-AF32-51325B7896DB}"/>
    <cellStyle name="Heading 1 2" xfId="142" xr:uid="{EA306685-3D1F-444F-BFD2-28E03DF687BF}"/>
    <cellStyle name="Heading 2" xfId="143" xr:uid="{5976C92C-9F99-43AF-801B-24AC3DE2E3E2}"/>
    <cellStyle name="Heading 2 2" xfId="144" xr:uid="{A9DAF6F8-649D-4D35-9D76-540EB454ABF4}"/>
    <cellStyle name="Heading 3" xfId="145" xr:uid="{F6E569EE-BB18-4F2E-9F5B-9A3765F19266}"/>
    <cellStyle name="Heading 3 2" xfId="146" xr:uid="{84697F62-74AC-4FFC-AD48-E030030AC2AC}"/>
    <cellStyle name="Heading 4" xfId="147" xr:uid="{2BF9C10B-14D6-43DC-A18A-287869CE00F1}"/>
    <cellStyle name="Heading 4 2" xfId="148" xr:uid="{52303B9E-985D-4791-9359-D8C12BA9C93A}"/>
    <cellStyle name="Hivatkozás 2" xfId="7" xr:uid="{00000000-0005-0000-0000-000008000000}"/>
    <cellStyle name="Input 2" xfId="149" xr:uid="{267737C5-B461-43AF-8D83-F03988E29A70}"/>
    <cellStyle name="Kontrolná bunka" xfId="150" xr:uid="{0F63E709-1F2A-496C-A52A-8D49B73F3452}"/>
    <cellStyle name="Kontrolní buňka" xfId="151" xr:uid="{9F117B99-77C0-42D1-84AD-43CAEDB1D66C}"/>
    <cellStyle name="Kopf" xfId="152" xr:uid="{5471E6AF-CD6C-4868-A645-6AC782CEAD27}"/>
    <cellStyle name="Kopf - Formatvorlage1" xfId="153" xr:uid="{381744B9-3D8D-426F-806E-CF3CBBA3D8AD}"/>
    <cellStyle name="Kopf 2" xfId="220" xr:uid="{F191EC45-FD6E-4EE9-8676-3B572312257E}"/>
    <cellStyle name="lehký dolní okraj" xfId="154" xr:uid="{3B70F588-C9F7-40F8-98BB-8EA5F7D9BFDC}"/>
    <cellStyle name="Linked Cell" xfId="155" xr:uid="{5F46186D-8DC6-455A-B78B-E95BEB37C13B}"/>
    <cellStyle name="Linked Cell 2" xfId="156" xr:uid="{7DAA1EC9-8C5A-4C2A-B1B4-B73D251812CD}"/>
    <cellStyle name="Nadpis 1" xfId="157" xr:uid="{461AF3F0-8592-4862-AA99-1B6BD8D539C6}"/>
    <cellStyle name="Nadpis 2" xfId="158" xr:uid="{C003CBC2-C46A-4EF0-A817-96CB810FB75F}"/>
    <cellStyle name="Nadpis 3" xfId="159" xr:uid="{6F3EF3C7-1D42-4CD8-AABF-39F9FDE0F252}"/>
    <cellStyle name="Nadpis 4" xfId="160" xr:uid="{D643EADF-7E3A-4FCB-A55B-3D98C18F2EF8}"/>
    <cellStyle name="Název" xfId="161" xr:uid="{28091B0C-B737-409B-A29A-49BA194AC19B}"/>
    <cellStyle name="Neutrálna" xfId="162" xr:uid="{D2993C27-8D48-44B0-A93E-6536D51F45CD}"/>
    <cellStyle name="Neutrální" xfId="163" xr:uid="{82011BED-71EF-458C-9536-7CDEEAD847FE}"/>
    <cellStyle name="Normál" xfId="0" builtinId="0"/>
    <cellStyle name="Normál 10 2" xfId="10" xr:uid="{00000000-0005-0000-0000-00000A000000}"/>
    <cellStyle name="Normál 2" xfId="4" xr:uid="{00000000-0005-0000-0000-00000B000000}"/>
    <cellStyle name="Normál 2 10 2" xfId="22" xr:uid="{00000000-0005-0000-0000-00000C000000}"/>
    <cellStyle name="Normál 2 2" xfId="2" xr:uid="{00000000-0005-0000-0000-00000D000000}"/>
    <cellStyle name="Normál 2 2 94" xfId="5" xr:uid="{00000000-0005-0000-0000-00000E000000}"/>
    <cellStyle name="Normál 264 2" xfId="11" xr:uid="{00000000-0005-0000-0000-00000F000000}"/>
    <cellStyle name="Normál 3" xfId="12" xr:uid="{00000000-0005-0000-0000-000010000000}"/>
    <cellStyle name="Normál 4" xfId="13" xr:uid="{00000000-0005-0000-0000-000011000000}"/>
    <cellStyle name="Normál 4 10" xfId="14" xr:uid="{00000000-0005-0000-0000-000012000000}"/>
    <cellStyle name="Normál 4 3" xfId="15" xr:uid="{00000000-0005-0000-0000-000013000000}"/>
    <cellStyle name="Normál 4 3 2" xfId="24" xr:uid="{00000000-0005-0000-0000-000014000000}"/>
    <cellStyle name="Normál 44 2" xfId="16" xr:uid="{00000000-0005-0000-0000-000015000000}"/>
    <cellStyle name="Normál 5" xfId="17" xr:uid="{00000000-0005-0000-0000-000016000000}"/>
    <cellStyle name="Normál 6" xfId="18" xr:uid="{00000000-0005-0000-0000-000017000000}"/>
    <cellStyle name="Normál 6 2" xfId="19" xr:uid="{00000000-0005-0000-0000-000018000000}"/>
    <cellStyle name="Normál 6 2 2" xfId="25" xr:uid="{00000000-0005-0000-0000-000019000000}"/>
    <cellStyle name="Normál 7" xfId="6" xr:uid="{00000000-0005-0000-0000-00001A000000}"/>
    <cellStyle name="Normál 8" xfId="35" xr:uid="{A9808968-AFE7-40A6-8769-764FF70A7ABE}"/>
    <cellStyle name="normálne_Rozpočet na SORO" xfId="164" xr:uid="{EC561B74-67D7-4F6C-A23E-7ED4A559CE25}"/>
    <cellStyle name="normální_LVExportImport_1" xfId="165" xr:uid="{EE9B7914-7D1C-414E-A7C3-80E6DD9AD10B}"/>
    <cellStyle name="Normalny_Arkusz1" xfId="166" xr:uid="{E43BD9C1-737E-4A7E-AE68-A34F6B0DAA26}"/>
    <cellStyle name="Note" xfId="167" xr:uid="{7024E1D2-4936-48A6-8D4A-C2FCB04015AA}"/>
    <cellStyle name="Output 2" xfId="168" xr:uid="{1C88B916-168C-44C9-8673-4D109BC2E131}"/>
    <cellStyle name="Pénznem" xfId="1" builtinId="4"/>
    <cellStyle name="Pénznem 2" xfId="23" xr:uid="{00000000-0005-0000-0000-00001C000000}"/>
    <cellStyle name="Pénznem 2 2" xfId="28" xr:uid="{00000000-0005-0000-0000-00001D000000}"/>
    <cellStyle name="Pénznem 2 3" xfId="36" xr:uid="{E2B6F499-4FE4-4BC1-9032-528131CA87EC}"/>
    <cellStyle name="Pénznem 2 4" xfId="218" xr:uid="{A9EB7FBC-11C1-4818-A453-F06B1EF04B87}"/>
    <cellStyle name="Pénznem 3" xfId="26" xr:uid="{00000000-0005-0000-0000-00001E000000}"/>
    <cellStyle name="Pénznem 4" xfId="30" xr:uid="{00000000-0005-0000-0000-00001F000000}"/>
    <cellStyle name="Pénznem 5" xfId="33" xr:uid="{00000000-0005-0000-0000-000020000000}"/>
    <cellStyle name="Pénznem 6" xfId="34" xr:uid="{9FE8B97B-11E7-4111-8CC0-C91995F269E1}"/>
    <cellStyle name="Poznámka" xfId="169" xr:uid="{EF4C204D-44D3-4747-955B-A823D8173E01}"/>
    <cellStyle name="Prepojená bunka" xfId="170" xr:uid="{8460334E-1937-4186-B99B-28266955ED2A}"/>
    <cellStyle name="Propojená buňka" xfId="171" xr:uid="{9489C572-C93C-4F2F-BD70-2914912AC649}"/>
    <cellStyle name="Spolu" xfId="172" xr:uid="{2F53DE68-2760-427A-B23D-35782E740EB9}"/>
    <cellStyle name="Správně" xfId="173" xr:uid="{B7517D97-F6CD-40A2-83E5-8966F5ECB27F}"/>
    <cellStyle name="Standa - Formatvorlage2" xfId="174" xr:uid="{D72A434D-4DD1-494D-9F5F-D3E7B1E75E5C}"/>
    <cellStyle name="Standa - Formatvorlage3" xfId="175" xr:uid="{32B83D45-0CF5-4514-B20F-F673F6E7F1F9}"/>
    <cellStyle name="Standa - Formatvorlage4" xfId="176" xr:uid="{188B1EFB-B68E-4624-B893-5203874F08AE}"/>
    <cellStyle name="Standa - Formatvorlage5" xfId="177" xr:uid="{219CD2C0-A81E-4B35-AC3F-421CB1B2ECC0}"/>
    <cellStyle name="Standa - Formatvorlage6" xfId="178" xr:uid="{D4E75467-C072-4826-B690-7F0C3DAD9DED}"/>
    <cellStyle name="Standa - Formatvorlage7" xfId="179" xr:uid="{24A73A30-B208-4124-AA0E-AB71DDBF50BC}"/>
    <cellStyle name="Standard 2" xfId="180" xr:uid="{7F486474-83D8-4E83-AD56-33A2E74C124A}"/>
    <cellStyle name="Standard 2 2" xfId="181" xr:uid="{463CD2B8-991D-4453-8FC4-818D8E138F24}"/>
    <cellStyle name="Standard 3" xfId="182" xr:uid="{59425D2C-ACA9-4BA6-A699-EA65A1FA6A68}"/>
    <cellStyle name="Standard 4" xfId="183" xr:uid="{41F1F43E-A518-4F3A-BD87-B0A1663F37FA}"/>
    <cellStyle name="Standard 4 2" xfId="184" xr:uid="{3B366B74-48B7-4D0B-A7D8-97BB2D271AF8}"/>
    <cellStyle name="Standard 4 3" xfId="185" xr:uid="{6B26BFD8-D92F-44B4-B63D-DD261F3C31B9}"/>
    <cellStyle name="Standard 5" xfId="186" xr:uid="{9E70D13C-DDA2-43FC-86EB-CDB6AD0CC1DA}"/>
    <cellStyle name="Standard_Munka12" xfId="21" xr:uid="{00000000-0005-0000-0000-000021000000}"/>
    <cellStyle name="Stil 1" xfId="187" xr:uid="{4A86D202-37BA-43F7-A70D-BED6AEFAAEC3}"/>
    <cellStyle name="Styl 1" xfId="188" xr:uid="{2DB3D248-7DF1-44DF-9A8F-D3A1F80E0665}"/>
    <cellStyle name="Summe - Formatvorlage8" xfId="189" xr:uid="{4689BFDC-1EEF-4DCA-B2E9-857CDAB72DF8}"/>
    <cellStyle name="Text upozornění" xfId="190" xr:uid="{9217BC3E-1A08-4C35-B152-5988A11AB21B}"/>
    <cellStyle name="Text upozornenia" xfId="191" xr:uid="{D9FABFE5-FB6B-4D83-AB6B-A11EB7E506F3}"/>
    <cellStyle name="Title" xfId="192" xr:uid="{8B977FDC-36FC-498F-B045-50074B8232BD}"/>
    <cellStyle name="Title 2" xfId="193" xr:uid="{9EE9C98A-FC9B-4F2E-B2B3-3EF43230D177}"/>
    <cellStyle name="Titul" xfId="194" xr:uid="{746376C8-DAA3-41B1-A1D8-68E25022D589}"/>
    <cellStyle name="Total 2" xfId="195" xr:uid="{80C59A95-C4BD-4D65-9153-B1A925F2BD57}"/>
    <cellStyle name="Undefiniert" xfId="196" xr:uid="{17361221-9016-4FC1-8593-596ACBF2FBB2}"/>
    <cellStyle name="Vstup" xfId="197" xr:uid="{9AD209B2-C93F-4147-8500-83153DDED304}"/>
    <cellStyle name="Výpočet" xfId="198" xr:uid="{142C4B26-B166-4DA5-9981-62A388CA9D6D}"/>
    <cellStyle name="Výstup" xfId="199" xr:uid="{58948EE1-0F4C-4F7E-9BE1-B0AA73A1A56B}"/>
    <cellStyle name="Vysvětlující text" xfId="200" xr:uid="{659D5C20-EC7B-4379-8821-BAC75AD55385}"/>
    <cellStyle name="Vysvetľujúci text" xfId="201" xr:uid="{AA1BC984-5E68-4EBB-86FB-8BD9A1C128EC}"/>
    <cellStyle name="Währung 2" xfId="202" xr:uid="{95631D1C-5686-4091-8A17-AF803F855FB5}"/>
    <cellStyle name="Warning Text 2" xfId="203" xr:uid="{7EC4B951-90B1-405E-AAF9-06BCF5FAA444}"/>
    <cellStyle name="Z1" xfId="204" xr:uid="{52FC153E-070E-4035-B7A5-74F2B6389510}"/>
    <cellStyle name="Zlá" xfId="205" xr:uid="{21A72C41-F985-439F-BFEF-7E61876A01F3}"/>
    <cellStyle name="Zvýraznění 1" xfId="206" xr:uid="{CF2E76F6-F528-4E70-9E8C-E82FA728E160}"/>
    <cellStyle name="Zvýraznění 2" xfId="207" xr:uid="{57854E61-2257-4D97-8D9C-BE2FBBE60820}"/>
    <cellStyle name="Zvýraznění 3" xfId="208" xr:uid="{398EC5E4-E4CF-4CAB-8895-9FCC31FBC875}"/>
    <cellStyle name="Zvýraznění 4" xfId="209" xr:uid="{9F0FCB73-890C-4AC6-B657-C5C9404F9FE9}"/>
    <cellStyle name="Zvýraznění 5" xfId="210" xr:uid="{1E66819A-C9B9-451E-83AD-6C62246323DB}"/>
    <cellStyle name="Zvýraznění 6" xfId="211" xr:uid="{F0029138-085D-405A-B17E-D3CB8634010C}"/>
    <cellStyle name="Zvýraznenie1" xfId="212" xr:uid="{95153FF1-0FBB-481D-89DE-E3AE2AEC3381}"/>
    <cellStyle name="Zvýraznenie2" xfId="213" xr:uid="{4C38A6B0-5FD0-4CE4-931B-934BAFCCE780}"/>
    <cellStyle name="Zvýraznenie3" xfId="214" xr:uid="{51516CF5-C37F-4998-BD65-8D85E111C9AC}"/>
    <cellStyle name="Zvýraznenie4" xfId="215" xr:uid="{29EE140C-95DC-4E98-B227-EAA934E90E9A}"/>
    <cellStyle name="Zvýraznenie5" xfId="216" xr:uid="{535F9881-96A6-407C-BD38-85C1AE022042}"/>
    <cellStyle name="Zvýraznenie6" xfId="217" xr:uid="{238254C3-DF4A-4071-96B8-60D6E76D58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20954</xdr:colOff>
      <xdr:row>0</xdr:row>
      <xdr:rowOff>0</xdr:rowOff>
    </xdr:from>
    <xdr:to>
      <xdr:col>4</xdr:col>
      <xdr:colOff>992505</xdr:colOff>
      <xdr:row>1</xdr:row>
      <xdr:rowOff>20955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6858EA9E-238A-4726-BFBD-2E50A8A93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0054" y="0"/>
          <a:ext cx="6094096" cy="12553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54857</xdr:colOff>
      <xdr:row>0</xdr:row>
      <xdr:rowOff>11023</xdr:rowOff>
    </xdr:from>
    <xdr:to>
      <xdr:col>7</xdr:col>
      <xdr:colOff>250426</xdr:colOff>
      <xdr:row>0</xdr:row>
      <xdr:rowOff>1432153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E3A08CB4-41E1-4D07-ACC8-EF24C07999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328" y="11023"/>
          <a:ext cx="6590542" cy="14135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28748</xdr:colOff>
      <xdr:row>0</xdr:row>
      <xdr:rowOff>4720</xdr:rowOff>
    </xdr:from>
    <xdr:to>
      <xdr:col>9</xdr:col>
      <xdr:colOff>60924</xdr:colOff>
      <xdr:row>0</xdr:row>
      <xdr:rowOff>1698784</xdr:rowOff>
    </xdr:to>
    <xdr:pic>
      <xdr:nvPicPr>
        <xdr:cNvPr id="2" name="Kép 1">
          <a:extLst>
            <a:ext uri="{FF2B5EF4-FFF2-40B4-BE49-F238E27FC236}">
              <a16:creationId xmlns:a16="http://schemas.microsoft.com/office/drawing/2014/main" id="{B4F4DF50-8B0E-4A2E-B759-10FD777A1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498" y="4720"/>
          <a:ext cx="7932211" cy="16978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26"/>
  <sheetViews>
    <sheetView tabSelected="1" view="pageBreakPreview" topLeftCell="A9" zoomScaleNormal="100" zoomScaleSheetLayoutView="100" workbookViewId="0">
      <selection activeCell="F22" sqref="F22"/>
    </sheetView>
  </sheetViews>
  <sheetFormatPr defaultRowHeight="14.4"/>
  <cols>
    <col min="1" max="1" width="1.109375" customWidth="1"/>
    <col min="2" max="2" width="5" style="30" customWidth="1"/>
    <col min="3" max="3" width="60.88671875" customWidth="1"/>
    <col min="4" max="4" width="13.6640625" customWidth="1"/>
    <col min="5" max="5" width="14.5546875" bestFit="1" customWidth="1"/>
    <col min="6" max="6" width="17.33203125" customWidth="1"/>
    <col min="7" max="7" width="15.77734375" hidden="1" customWidth="1"/>
    <col min="8" max="8" width="67.88671875" customWidth="1"/>
    <col min="9" max="9" width="1.5546875" customWidth="1"/>
    <col min="10" max="10" width="36.33203125" style="120" customWidth="1"/>
    <col min="11" max="11" width="14.21875" bestFit="1" customWidth="1"/>
    <col min="12" max="13" width="13" bestFit="1" customWidth="1"/>
  </cols>
  <sheetData>
    <row r="1" spans="2:10" ht="97.8" customHeight="1"/>
    <row r="2" spans="2:10" ht="18.600000000000001" thickBot="1">
      <c r="B2" s="231" t="s">
        <v>30</v>
      </c>
      <c r="C2" s="231"/>
      <c r="D2" s="231"/>
      <c r="E2" s="231"/>
      <c r="F2" s="231"/>
      <c r="G2" s="48"/>
      <c r="H2" t="s">
        <v>188</v>
      </c>
    </row>
    <row r="3" spans="2:10" ht="15.6" hidden="1">
      <c r="B3" s="232" t="s">
        <v>0</v>
      </c>
      <c r="C3" s="232"/>
      <c r="D3" s="232"/>
      <c r="E3" s="232"/>
      <c r="F3" s="232"/>
      <c r="G3" s="49"/>
    </row>
    <row r="4" spans="2:10" ht="21" hidden="1" customHeight="1">
      <c r="B4" s="233" t="s">
        <v>100</v>
      </c>
      <c r="C4" s="233"/>
      <c r="D4" s="233"/>
      <c r="E4" s="233"/>
      <c r="F4" s="233"/>
      <c r="G4" s="50"/>
    </row>
    <row r="5" spans="2:10" ht="5.4" hidden="1" customHeight="1" thickBot="1">
      <c r="B5" s="29"/>
      <c r="C5" s="1"/>
      <c r="D5" s="2"/>
      <c r="E5" s="2"/>
      <c r="F5" s="2"/>
      <c r="G5" s="2"/>
    </row>
    <row r="6" spans="2:10" ht="27" customHeight="1" thickBot="1">
      <c r="B6" s="234" t="s">
        <v>1</v>
      </c>
      <c r="C6" s="235"/>
      <c r="D6" s="186" t="s">
        <v>2</v>
      </c>
      <c r="E6" s="186" t="s">
        <v>3</v>
      </c>
      <c r="F6" s="38" t="s">
        <v>4</v>
      </c>
      <c r="G6" s="38" t="s">
        <v>40</v>
      </c>
      <c r="H6" s="38" t="s">
        <v>28</v>
      </c>
    </row>
    <row r="7" spans="2:10" ht="12.6" customHeight="1" thickBot="1"/>
    <row r="8" spans="2:10" ht="16.2" thickBot="1">
      <c r="B8" s="98" t="s">
        <v>8</v>
      </c>
      <c r="C8" s="99" t="s">
        <v>160</v>
      </c>
      <c r="D8" s="100"/>
      <c r="E8" s="100"/>
      <c r="F8" s="101"/>
      <c r="G8" s="101"/>
      <c r="H8" s="184"/>
    </row>
    <row r="9" spans="2:10" s="7" customFormat="1" ht="31.8" thickBot="1">
      <c r="B9" s="192" t="s">
        <v>99</v>
      </c>
      <c r="C9" s="115" t="s">
        <v>143</v>
      </c>
      <c r="D9" s="114">
        <f>SUM(D10:D13)</f>
        <v>328503994</v>
      </c>
      <c r="E9" s="114">
        <f>SUM(E10:E13)</f>
        <v>111397940</v>
      </c>
      <c r="F9" s="193">
        <f>SUM(D10:E13)</f>
        <v>439901934</v>
      </c>
      <c r="G9" s="176">
        <f>F9</f>
        <v>439901934</v>
      </c>
      <c r="H9" s="179" t="s">
        <v>189</v>
      </c>
      <c r="J9" s="120"/>
    </row>
    <row r="10" spans="2:10" ht="28.2" customHeight="1">
      <c r="B10" s="187" t="s">
        <v>161</v>
      </c>
      <c r="C10" s="188" t="s">
        <v>154</v>
      </c>
      <c r="D10" s="189">
        <f>'VI. Futópálya kiegészítő mu'!I15</f>
        <v>42380681</v>
      </c>
      <c r="E10" s="190">
        <f>'VI. Futópálya kiegészítő mu'!J15</f>
        <v>57807953</v>
      </c>
      <c r="F10" s="191">
        <f>D10+E10</f>
        <v>100188634</v>
      </c>
      <c r="G10" s="95"/>
      <c r="H10" s="39" t="s">
        <v>144</v>
      </c>
    </row>
    <row r="11" spans="2:10" ht="43.2" customHeight="1">
      <c r="B11" s="118" t="s">
        <v>162</v>
      </c>
      <c r="C11" s="177" t="s">
        <v>170</v>
      </c>
      <c r="D11" s="172">
        <f>'VI. Futópálya kiegészítő mu'!I28</f>
        <v>243092100</v>
      </c>
      <c r="E11" s="172">
        <f>'VI. Futópálya kiegészítő mu'!J28</f>
        <v>14366032</v>
      </c>
      <c r="F11" s="96">
        <f>D11+E11</f>
        <v>257458132</v>
      </c>
      <c r="G11" s="95"/>
      <c r="H11" s="47" t="s">
        <v>171</v>
      </c>
    </row>
    <row r="12" spans="2:10" ht="31.2">
      <c r="B12" s="118" t="s">
        <v>163</v>
      </c>
      <c r="C12" s="177" t="s">
        <v>142</v>
      </c>
      <c r="D12" s="172">
        <f>'VI. Futópálya kiegészítő mu'!I44</f>
        <v>24766875</v>
      </c>
      <c r="E12" s="172">
        <f>'VI. Futópálya kiegészítő mu'!J44</f>
        <v>22542505</v>
      </c>
      <c r="F12" s="96">
        <f>D12+E12</f>
        <v>47309380</v>
      </c>
      <c r="G12" s="95"/>
      <c r="H12" s="39" t="s">
        <v>147</v>
      </c>
    </row>
    <row r="13" spans="2:10" ht="31.8" thickBot="1">
      <c r="B13" s="119" t="s">
        <v>164</v>
      </c>
      <c r="C13" s="178" t="s">
        <v>140</v>
      </c>
      <c r="D13" s="173">
        <f>'VI. Futópálya kiegészítő mu'!I64</f>
        <v>18264338</v>
      </c>
      <c r="E13" s="173">
        <f>'VI. Futópálya kiegészítő mu'!J64</f>
        <v>16681450</v>
      </c>
      <c r="F13" s="185">
        <f>D13+E13</f>
        <v>34945788</v>
      </c>
      <c r="G13" s="97"/>
      <c r="H13" s="180" t="s">
        <v>146</v>
      </c>
    </row>
    <row r="14" spans="2:10" ht="5.4" customHeight="1" thickBot="1">
      <c r="D14" s="174"/>
      <c r="E14" s="174"/>
    </row>
    <row r="15" spans="2:10" ht="9.6" hidden="1" customHeight="1" thickBot="1">
      <c r="D15" s="174"/>
      <c r="E15" s="174"/>
    </row>
    <row r="16" spans="2:10" ht="22.2" customHeight="1" thickBot="1">
      <c r="C16" s="28" t="s">
        <v>145</v>
      </c>
      <c r="D16" s="175">
        <f>SUM(D10:D13)</f>
        <v>328503994</v>
      </c>
      <c r="E16" s="175">
        <f>SUM(E10:E13)</f>
        <v>111397940</v>
      </c>
      <c r="F16" s="51">
        <f>SUM(F9)</f>
        <v>439901934</v>
      </c>
      <c r="G16" s="51" t="e">
        <f>#REF!+#REF!+#REF!+#REF!+G9</f>
        <v>#REF!</v>
      </c>
      <c r="J16" s="6"/>
    </row>
    <row r="17" spans="2:10" ht="15.6">
      <c r="C17" s="3"/>
      <c r="D17" s="4"/>
      <c r="E17" s="4"/>
      <c r="F17" s="6"/>
      <c r="G17" s="6"/>
    </row>
    <row r="18" spans="2:10" ht="17.399999999999999" customHeight="1" thickBot="1">
      <c r="C18" s="3"/>
      <c r="D18" s="5"/>
      <c r="E18" s="5"/>
      <c r="F18" s="4"/>
      <c r="G18" s="225"/>
    </row>
    <row r="19" spans="2:10" ht="16.2" thickBot="1">
      <c r="B19" s="98" t="s">
        <v>8</v>
      </c>
      <c r="C19" s="99" t="s">
        <v>160</v>
      </c>
      <c r="D19" s="100"/>
      <c r="E19" s="100"/>
      <c r="F19" s="101"/>
      <c r="G19" s="101"/>
      <c r="H19" s="226" t="s">
        <v>191</v>
      </c>
    </row>
    <row r="20" spans="2:10" s="7" customFormat="1" ht="29.4" thickBot="1">
      <c r="B20" s="116" t="s">
        <v>165</v>
      </c>
      <c r="C20" s="115" t="s">
        <v>159</v>
      </c>
      <c r="D20" s="114">
        <f>'VII. Futópálya amortizáció'!I2</f>
        <v>17135616</v>
      </c>
      <c r="E20" s="114">
        <f>'VII. Futópálya amortizáció'!J2</f>
        <v>9021643</v>
      </c>
      <c r="F20" s="113">
        <f>SUM(D20:E20)</f>
        <v>26157259</v>
      </c>
      <c r="G20" s="51">
        <f>F20</f>
        <v>26157259</v>
      </c>
      <c r="H20" s="183" t="s">
        <v>139</v>
      </c>
      <c r="J20" s="120"/>
    </row>
    <row r="21" spans="2:10" s="7" customFormat="1" ht="31.8" thickBot="1">
      <c r="B21" s="116" t="s">
        <v>166</v>
      </c>
      <c r="C21" s="115" t="s">
        <v>157</v>
      </c>
      <c r="D21" s="114">
        <f>'VII. Futópálya amortizáció'!I40</f>
        <v>-13391496.25</v>
      </c>
      <c r="E21" s="114">
        <f>'VII. Futópálya amortizáció'!J40</f>
        <v>-11950198.25</v>
      </c>
      <c r="F21" s="113">
        <f>SUM(D21:E21)</f>
        <v>-25341694.5</v>
      </c>
      <c r="G21" s="51">
        <f>F21</f>
        <v>-25341694.5</v>
      </c>
      <c r="H21" s="183" t="s">
        <v>158</v>
      </c>
      <c r="J21" s="120"/>
    </row>
    <row r="22" spans="2:10" ht="16.2" thickBot="1">
      <c r="D22" s="175">
        <f>D20+D21</f>
        <v>3744119.75</v>
      </c>
      <c r="E22" s="175">
        <f>E20+E21</f>
        <v>-2928555.25</v>
      </c>
      <c r="F22" s="51">
        <f>F20+F21</f>
        <v>815564.5</v>
      </c>
      <c r="G22" s="6"/>
    </row>
    <row r="23" spans="2:10" ht="16.8" customHeight="1" thickBot="1">
      <c r="F23" s="40"/>
    </row>
    <row r="24" spans="2:10" ht="16.2" thickBot="1">
      <c r="C24" s="28" t="s">
        <v>145</v>
      </c>
      <c r="D24" s="175">
        <f>D22+D16</f>
        <v>332248113.75</v>
      </c>
      <c r="E24" s="175">
        <f>E22+E16</f>
        <v>108469384.75</v>
      </c>
      <c r="F24" s="51">
        <f>F16+F22</f>
        <v>440717498.5</v>
      </c>
    </row>
    <row r="25" spans="2:10" ht="15.6">
      <c r="C25" s="3" t="s">
        <v>6</v>
      </c>
      <c r="D25" s="4"/>
      <c r="E25" s="4"/>
      <c r="F25" s="6">
        <f>F24*0.27</f>
        <v>118993724.59500001</v>
      </c>
    </row>
    <row r="26" spans="2:10" ht="15.6">
      <c r="C26" s="3" t="s">
        <v>38</v>
      </c>
      <c r="D26" s="5"/>
      <c r="E26" s="5"/>
      <c r="F26" s="4">
        <f>SUM(F24:F25)</f>
        <v>559711223.09500003</v>
      </c>
    </row>
  </sheetData>
  <mergeCells count="4">
    <mergeCell ref="B2:F2"/>
    <mergeCell ref="B3:F3"/>
    <mergeCell ref="B4:F4"/>
    <mergeCell ref="B6:C6"/>
  </mergeCells>
  <pageMargins left="0.23622047244094491" right="0.23622047244094491" top="0.35433070866141736" bottom="0.35433070866141736" header="0.31496062992125984" footer="0.31496062992125984"/>
  <pageSetup paperSize="9" scale="7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79"/>
  <sheetViews>
    <sheetView view="pageBreakPreview" topLeftCell="A28" zoomScale="90" zoomScaleNormal="40" zoomScaleSheetLayoutView="90" workbookViewId="0">
      <selection activeCell="N2" sqref="N2:N3"/>
    </sheetView>
  </sheetViews>
  <sheetFormatPr defaultRowHeight="14.4"/>
  <cols>
    <col min="1" max="1" width="1.88671875" customWidth="1"/>
    <col min="2" max="2" width="7.33203125" customWidth="1"/>
    <col min="3" max="3" width="8.77734375" customWidth="1"/>
    <col min="4" max="4" width="48.44140625" customWidth="1"/>
    <col min="5" max="5" width="8.5546875" customWidth="1"/>
    <col min="6" max="6" width="6" style="35" customWidth="1"/>
    <col min="7" max="7" width="13.77734375" customWidth="1"/>
    <col min="8" max="8" width="13" customWidth="1"/>
    <col min="9" max="9" width="15.77734375" bestFit="1" customWidth="1"/>
    <col min="10" max="11" width="16" bestFit="1" customWidth="1"/>
    <col min="12" max="12" width="1.33203125" customWidth="1"/>
    <col min="14" max="14" width="14" bestFit="1" customWidth="1"/>
    <col min="15" max="15" width="14.6640625" bestFit="1" customWidth="1"/>
  </cols>
  <sheetData>
    <row r="1" spans="2:14" ht="116.4" customHeight="1" thickBot="1"/>
    <row r="2" spans="2:14" ht="38.4" customHeight="1" thickBot="1">
      <c r="B2" s="52" t="s">
        <v>99</v>
      </c>
      <c r="C2" s="236" t="str">
        <f>Összesítő!C9</f>
        <v xml:space="preserve"> Futópálya és Gurulóút pályaszerkezeti hibák, új dilatációk, emelt műszaki tartalom többlet költségek:</v>
      </c>
      <c r="D2" s="237"/>
      <c r="E2" s="237"/>
      <c r="F2" s="237"/>
      <c r="G2" s="237"/>
      <c r="H2" s="238"/>
      <c r="I2" s="44">
        <f>I15+I28+I44+I64</f>
        <v>328503994</v>
      </c>
      <c r="J2" s="44">
        <f>J15+J28+J44+J64</f>
        <v>111397940</v>
      </c>
      <c r="K2" s="54">
        <f>I2+J2</f>
        <v>439901934</v>
      </c>
    </row>
    <row r="3" spans="2:14" ht="25.8" customHeight="1" thickBot="1">
      <c r="B3" s="52" t="s">
        <v>172</v>
      </c>
      <c r="C3" s="236" t="str">
        <f>Összesítő!C10</f>
        <v xml:space="preserve">  Felmért pályaszerkezeti hibák javítása, felújítása (2024)</v>
      </c>
      <c r="D3" s="237"/>
      <c r="E3" s="237"/>
      <c r="F3" s="237"/>
      <c r="G3" s="237"/>
      <c r="H3" s="238"/>
      <c r="I3" s="239"/>
      <c r="J3" s="240"/>
      <c r="K3" s="241"/>
      <c r="L3" s="10"/>
      <c r="N3" s="40"/>
    </row>
    <row r="4" spans="2:14" s="8" customFormat="1" ht="31.8" thickBot="1">
      <c r="B4" s="121" t="s">
        <v>15</v>
      </c>
      <c r="C4" s="55" t="s">
        <v>141</v>
      </c>
      <c r="D4" s="43" t="s">
        <v>16</v>
      </c>
      <c r="E4" s="43" t="s">
        <v>101</v>
      </c>
      <c r="F4" s="43" t="s">
        <v>102</v>
      </c>
      <c r="G4" s="43" t="s">
        <v>19</v>
      </c>
      <c r="H4" s="43" t="s">
        <v>20</v>
      </c>
      <c r="I4" s="43" t="s">
        <v>2</v>
      </c>
      <c r="J4" s="43" t="s">
        <v>3</v>
      </c>
      <c r="K4" s="43" t="s">
        <v>29</v>
      </c>
    </row>
    <row r="5" spans="2:14" ht="33" customHeight="1">
      <c r="B5" s="16" t="s">
        <v>5</v>
      </c>
      <c r="C5" s="53" t="s">
        <v>42</v>
      </c>
      <c r="D5" s="21" t="s">
        <v>33</v>
      </c>
      <c r="E5" s="19">
        <v>431</v>
      </c>
      <c r="F5" s="18" t="s">
        <v>23</v>
      </c>
      <c r="G5" s="11">
        <v>0</v>
      </c>
      <c r="H5" s="11">
        <v>19337</v>
      </c>
      <c r="I5" s="12">
        <f>ROUND($E5*G5,0)</f>
        <v>0</v>
      </c>
      <c r="J5" s="12">
        <f>ROUND($E5*H5,0)</f>
        <v>8334247</v>
      </c>
      <c r="K5" s="41">
        <f>I5+J5</f>
        <v>8334247</v>
      </c>
    </row>
    <row r="6" spans="2:14" ht="46.8">
      <c r="B6" s="14" t="s">
        <v>7</v>
      </c>
      <c r="C6" s="53" t="s">
        <v>42</v>
      </c>
      <c r="D6" s="21" t="s">
        <v>34</v>
      </c>
      <c r="E6" s="20">
        <v>10</v>
      </c>
      <c r="F6" s="18" t="s">
        <v>25</v>
      </c>
      <c r="G6" s="11">
        <v>0</v>
      </c>
      <c r="H6" s="11">
        <v>161144</v>
      </c>
      <c r="I6" s="12">
        <f t="shared" ref="I6:J14" si="0">ROUND($E6*G6,0)</f>
        <v>0</v>
      </c>
      <c r="J6" s="12">
        <f t="shared" ref="J6:J11" si="1">ROUND($E6*H6,0)</f>
        <v>1611440</v>
      </c>
      <c r="K6" s="41">
        <f t="shared" ref="K6:K14" si="2">I6+J6</f>
        <v>1611440</v>
      </c>
    </row>
    <row r="7" spans="2:14" ht="46.8">
      <c r="B7" s="16" t="s">
        <v>8</v>
      </c>
      <c r="C7" s="53" t="s">
        <v>42</v>
      </c>
      <c r="D7" s="21" t="s">
        <v>136</v>
      </c>
      <c r="E7" s="19">
        <v>164.5</v>
      </c>
      <c r="F7" s="18" t="s">
        <v>24</v>
      </c>
      <c r="G7" s="11">
        <v>1869</v>
      </c>
      <c r="H7" s="11">
        <v>1347</v>
      </c>
      <c r="I7" s="12">
        <f t="shared" si="0"/>
        <v>307451</v>
      </c>
      <c r="J7" s="12">
        <f t="shared" si="1"/>
        <v>221582</v>
      </c>
      <c r="K7" s="41">
        <f t="shared" si="2"/>
        <v>529033</v>
      </c>
    </row>
    <row r="8" spans="2:14" ht="38.4" customHeight="1">
      <c r="B8" s="14" t="s">
        <v>9</v>
      </c>
      <c r="C8" s="53" t="s">
        <v>42</v>
      </c>
      <c r="D8" s="21" t="s">
        <v>35</v>
      </c>
      <c r="E8" s="19">
        <v>719</v>
      </c>
      <c r="F8" s="18" t="s">
        <v>23</v>
      </c>
      <c r="G8" s="11">
        <v>387</v>
      </c>
      <c r="H8" s="11">
        <v>960</v>
      </c>
      <c r="I8" s="12">
        <f t="shared" si="0"/>
        <v>278253</v>
      </c>
      <c r="J8" s="12">
        <f t="shared" si="1"/>
        <v>690240</v>
      </c>
      <c r="K8" s="41">
        <f t="shared" si="2"/>
        <v>968493</v>
      </c>
    </row>
    <row r="9" spans="2:14" ht="109.2">
      <c r="B9" s="16" t="s">
        <v>10</v>
      </c>
      <c r="C9" s="53" t="s">
        <v>42</v>
      </c>
      <c r="D9" s="21" t="s">
        <v>148</v>
      </c>
      <c r="E9" s="19">
        <v>7.5</v>
      </c>
      <c r="F9" s="18" t="s">
        <v>25</v>
      </c>
      <c r="G9" s="11">
        <v>3963247</v>
      </c>
      <c r="H9" s="11">
        <v>1669275</v>
      </c>
      <c r="I9" s="12">
        <f t="shared" si="0"/>
        <v>29724353</v>
      </c>
      <c r="J9" s="12">
        <f t="shared" si="1"/>
        <v>12519563</v>
      </c>
      <c r="K9" s="41">
        <f t="shared" si="2"/>
        <v>42243916</v>
      </c>
    </row>
    <row r="10" spans="2:14" ht="49.2" customHeight="1">
      <c r="B10" s="16" t="s">
        <v>11</v>
      </c>
      <c r="C10" s="53" t="s">
        <v>42</v>
      </c>
      <c r="D10" s="56" t="s">
        <v>167</v>
      </c>
      <c r="E10" s="19">
        <v>6.5</v>
      </c>
      <c r="F10" s="18" t="s">
        <v>25</v>
      </c>
      <c r="G10" s="12">
        <v>1857019</v>
      </c>
      <c r="H10" s="12">
        <v>699397</v>
      </c>
      <c r="I10" s="12">
        <f t="shared" si="0"/>
        <v>12070624</v>
      </c>
      <c r="J10" s="12">
        <f t="shared" si="1"/>
        <v>4546081</v>
      </c>
      <c r="K10" s="41">
        <f t="shared" si="2"/>
        <v>16616705</v>
      </c>
    </row>
    <row r="11" spans="2:14" ht="50.4" customHeight="1">
      <c r="B11" s="16" t="s">
        <v>12</v>
      </c>
      <c r="C11" s="53" t="s">
        <v>42</v>
      </c>
      <c r="D11" s="21" t="s">
        <v>37</v>
      </c>
      <c r="E11" s="20">
        <v>1200</v>
      </c>
      <c r="F11" s="18" t="s">
        <v>21</v>
      </c>
      <c r="G11" s="11">
        <v>0</v>
      </c>
      <c r="H11" s="11">
        <v>17404</v>
      </c>
      <c r="I11" s="12">
        <f t="shared" si="0"/>
        <v>0</v>
      </c>
      <c r="J11" s="12">
        <f t="shared" si="1"/>
        <v>20884800</v>
      </c>
      <c r="K11" s="41">
        <f t="shared" si="2"/>
        <v>20884800</v>
      </c>
    </row>
    <row r="12" spans="2:14" ht="46.8">
      <c r="B12" s="16" t="s">
        <v>13</v>
      </c>
      <c r="C12" s="124" t="s">
        <v>42</v>
      </c>
      <c r="D12" s="26" t="s">
        <v>168</v>
      </c>
      <c r="E12" s="19">
        <v>1500</v>
      </c>
      <c r="F12" s="34" t="s">
        <v>24</v>
      </c>
      <c r="G12" s="117"/>
      <c r="H12" s="11">
        <v>2352</v>
      </c>
      <c r="I12" s="12">
        <f t="shared" si="0"/>
        <v>0</v>
      </c>
      <c r="J12" s="12">
        <f t="shared" si="0"/>
        <v>3528000</v>
      </c>
      <c r="K12" s="41">
        <f t="shared" si="2"/>
        <v>3528000</v>
      </c>
    </row>
    <row r="13" spans="2:14" ht="46.8">
      <c r="B13" s="16" t="s">
        <v>14</v>
      </c>
      <c r="C13" s="124" t="s">
        <v>42</v>
      </c>
      <c r="D13" s="26" t="s">
        <v>169</v>
      </c>
      <c r="E13" s="19">
        <f>1500*0.25</f>
        <v>375</v>
      </c>
      <c r="F13" s="34" t="s">
        <v>21</v>
      </c>
      <c r="G13" s="117"/>
      <c r="H13" s="11">
        <v>12660</v>
      </c>
      <c r="I13" s="12">
        <f t="shared" si="0"/>
        <v>0</v>
      </c>
      <c r="J13" s="12">
        <f t="shared" si="0"/>
        <v>4747500</v>
      </c>
      <c r="K13" s="41">
        <f t="shared" si="2"/>
        <v>4747500</v>
      </c>
    </row>
    <row r="14" spans="2:14" ht="31.8" thickBot="1">
      <c r="B14" s="16" t="s">
        <v>59</v>
      </c>
      <c r="C14" s="53" t="s">
        <v>42</v>
      </c>
      <c r="D14" s="56" t="s">
        <v>135</v>
      </c>
      <c r="E14" s="19">
        <v>1</v>
      </c>
      <c r="F14" s="57" t="s">
        <v>43</v>
      </c>
      <c r="G14" s="11">
        <v>0</v>
      </c>
      <c r="H14" s="11">
        <f>375000+349500</f>
        <v>724500</v>
      </c>
      <c r="I14" s="12">
        <f t="shared" si="0"/>
        <v>0</v>
      </c>
      <c r="J14" s="12">
        <f t="shared" si="0"/>
        <v>724500</v>
      </c>
      <c r="K14" s="41">
        <f t="shared" si="2"/>
        <v>724500</v>
      </c>
    </row>
    <row r="15" spans="2:14" ht="23.4" customHeight="1" thickBot="1">
      <c r="B15" s="22"/>
      <c r="C15" s="22"/>
      <c r="D15" s="23"/>
      <c r="E15" s="24"/>
      <c r="F15" s="36"/>
      <c r="G15" s="17"/>
      <c r="H15" s="17"/>
      <c r="I15" s="44">
        <f>SUM(I5:I14)</f>
        <v>42380681</v>
      </c>
      <c r="J15" s="44">
        <f>SUM(J5:J14)</f>
        <v>57807953</v>
      </c>
      <c r="K15" s="44">
        <f>SUM(K5:K14)</f>
        <v>100188634</v>
      </c>
    </row>
    <row r="16" spans="2:14" ht="23.4" customHeight="1" thickBot="1">
      <c r="B16" s="22"/>
      <c r="C16" s="22"/>
      <c r="D16" s="23"/>
      <c r="E16" s="24"/>
      <c r="F16" s="36"/>
      <c r="G16" s="17"/>
      <c r="H16" s="17"/>
      <c r="I16" s="17"/>
      <c r="J16" s="223"/>
      <c r="K16" s="224"/>
    </row>
    <row r="17" spans="2:12" ht="18.600000000000001" thickBot="1">
      <c r="B17" s="52" t="s">
        <v>173</v>
      </c>
      <c r="C17" s="236" t="str">
        <f>Összesítő!C11</f>
        <v xml:space="preserve"> Futópálya új dilatációk képzése, polimer fuga kitöltő anyag. (Polysulfid 2K (Eurolastic))</v>
      </c>
      <c r="D17" s="237" t="e">
        <f>#REF!</f>
        <v>#REF!</v>
      </c>
      <c r="E17" s="237"/>
      <c r="F17" s="237"/>
      <c r="G17" s="237"/>
      <c r="H17" s="238"/>
      <c r="I17" s="239"/>
      <c r="J17" s="240"/>
      <c r="K17" s="241"/>
    </row>
    <row r="18" spans="2:12" ht="31.8" thickBot="1">
      <c r="B18" s="121" t="s">
        <v>15</v>
      </c>
      <c r="C18" s="55"/>
      <c r="D18" s="43" t="s">
        <v>16</v>
      </c>
      <c r="E18" s="43" t="s">
        <v>101</v>
      </c>
      <c r="F18" s="43" t="s">
        <v>102</v>
      </c>
      <c r="G18" s="112" t="s">
        <v>19</v>
      </c>
      <c r="H18" s="112" t="s">
        <v>20</v>
      </c>
      <c r="I18" s="112" t="s">
        <v>2</v>
      </c>
      <c r="J18" s="112" t="s">
        <v>3</v>
      </c>
      <c r="K18" s="112" t="s">
        <v>29</v>
      </c>
    </row>
    <row r="19" spans="2:12" ht="18">
      <c r="B19" s="108" t="s">
        <v>174</v>
      </c>
      <c r="C19" s="109"/>
      <c r="D19" s="60" t="s">
        <v>32</v>
      </c>
      <c r="E19" s="109"/>
      <c r="F19" s="110"/>
      <c r="G19" s="109"/>
      <c r="H19" s="109"/>
      <c r="I19" s="109"/>
      <c r="J19" s="109"/>
      <c r="K19" s="111"/>
    </row>
    <row r="20" spans="2:12" ht="38.4" customHeight="1">
      <c r="B20" s="31" t="s">
        <v>68</v>
      </c>
      <c r="C20" s="122" t="s">
        <v>26</v>
      </c>
      <c r="D20" s="45" t="s">
        <v>36</v>
      </c>
      <c r="E20" s="91">
        <v>-1488</v>
      </c>
      <c r="F20" s="33" t="s">
        <v>24</v>
      </c>
      <c r="G20" s="27">
        <v>0</v>
      </c>
      <c r="H20" s="27">
        <v>3192</v>
      </c>
      <c r="I20" s="25">
        <f>$E20*G20</f>
        <v>0</v>
      </c>
      <c r="J20" s="25">
        <f>$E20*H20</f>
        <v>-4749696</v>
      </c>
      <c r="K20" s="41">
        <f>I20+J20</f>
        <v>-4749696</v>
      </c>
    </row>
    <row r="21" spans="2:12" ht="31.2">
      <c r="B21" s="31" t="s">
        <v>70</v>
      </c>
      <c r="C21" s="122" t="s">
        <v>26</v>
      </c>
      <c r="D21" s="59" t="s">
        <v>31</v>
      </c>
      <c r="E21" s="91">
        <v>-1488</v>
      </c>
      <c r="F21" s="33" t="s">
        <v>24</v>
      </c>
      <c r="G21" s="27">
        <v>1330</v>
      </c>
      <c r="H21" s="27">
        <v>2195</v>
      </c>
      <c r="I21" s="25">
        <f>$E21*G21</f>
        <v>-1979040</v>
      </c>
      <c r="J21" s="25">
        <f>$E21*H21</f>
        <v>-3266160</v>
      </c>
      <c r="K21" s="41">
        <f>I21+J21</f>
        <v>-5245200</v>
      </c>
    </row>
    <row r="22" spans="2:12" ht="82.8" customHeight="1">
      <c r="B22" s="14" t="s">
        <v>5</v>
      </c>
      <c r="C22" s="123" t="s">
        <v>41</v>
      </c>
      <c r="D22" s="13" t="s">
        <v>97</v>
      </c>
      <c r="E22" s="9">
        <v>1488</v>
      </c>
      <c r="F22" s="32" t="s">
        <v>24</v>
      </c>
      <c r="G22" s="11">
        <v>12399.75</v>
      </c>
      <c r="H22" s="11">
        <v>5801</v>
      </c>
      <c r="I22" s="12">
        <f>ROUND($E22*G22,0)</f>
        <v>18450828</v>
      </c>
      <c r="J22" s="12">
        <f>ROUND($E22*H22,0)</f>
        <v>8631888</v>
      </c>
      <c r="K22" s="41">
        <f t="shared" ref="K22:K27" si="3">I22+J22</f>
        <v>27082716</v>
      </c>
    </row>
    <row r="23" spans="2:12" ht="18">
      <c r="B23" s="103" t="s">
        <v>174</v>
      </c>
      <c r="C23" s="104"/>
      <c r="D23" s="105" t="s">
        <v>62</v>
      </c>
      <c r="E23" s="104"/>
      <c r="F23" s="106"/>
      <c r="G23" s="104"/>
      <c r="H23" s="104"/>
      <c r="I23" s="104"/>
      <c r="J23" s="104"/>
      <c r="K23" s="107"/>
    </row>
    <row r="24" spans="2:12" ht="31.2">
      <c r="B24" s="31" t="s">
        <v>70</v>
      </c>
      <c r="C24" s="64" t="s">
        <v>46</v>
      </c>
      <c r="D24" s="46" t="s">
        <v>31</v>
      </c>
      <c r="E24" s="92">
        <v>-28452</v>
      </c>
      <c r="F24" s="61" t="s">
        <v>24</v>
      </c>
      <c r="G24" s="62">
        <v>1330</v>
      </c>
      <c r="H24" s="62"/>
      <c r="I24" s="63">
        <f>$E24*G24</f>
        <v>-37841160</v>
      </c>
      <c r="J24" s="63"/>
      <c r="K24" s="58">
        <f>I24+J24</f>
        <v>-37841160</v>
      </c>
    </row>
    <row r="25" spans="2:12" ht="46.8">
      <c r="B25" s="14" t="s">
        <v>7</v>
      </c>
      <c r="C25" s="123" t="s">
        <v>98</v>
      </c>
      <c r="D25" s="26" t="s">
        <v>82</v>
      </c>
      <c r="E25" s="15">
        <f>29940-1488</f>
        <v>28452</v>
      </c>
      <c r="F25" s="34" t="s">
        <v>24</v>
      </c>
      <c r="G25" s="11">
        <v>5511</v>
      </c>
      <c r="H25" s="11"/>
      <c r="I25" s="12">
        <f>ROUND($E25*G25,0)</f>
        <v>156798972</v>
      </c>
      <c r="J25" s="12">
        <f>ROUND($E25*H25,0)</f>
        <v>0</v>
      </c>
      <c r="K25" s="41">
        <f t="shared" si="3"/>
        <v>156798972</v>
      </c>
    </row>
    <row r="26" spans="2:12" ht="15.6">
      <c r="B26" s="31" t="s">
        <v>72</v>
      </c>
      <c r="C26" s="64" t="s">
        <v>26</v>
      </c>
      <c r="D26" s="46" t="s">
        <v>44</v>
      </c>
      <c r="E26" s="92">
        <v>-27500</v>
      </c>
      <c r="F26" s="61" t="s">
        <v>45</v>
      </c>
      <c r="G26" s="62">
        <v>1596</v>
      </c>
      <c r="H26" s="62">
        <v>5054</v>
      </c>
      <c r="I26" s="63">
        <f>$E26*G26</f>
        <v>-43890000</v>
      </c>
      <c r="J26" s="63">
        <f>$E26*H26</f>
        <v>-138985000</v>
      </c>
      <c r="K26" s="41">
        <f t="shared" si="3"/>
        <v>-182875000</v>
      </c>
    </row>
    <row r="27" spans="2:12" ht="47.4" thickBot="1">
      <c r="B27" s="14" t="s">
        <v>8</v>
      </c>
      <c r="C27" s="125" t="s">
        <v>41</v>
      </c>
      <c r="D27" s="26" t="s">
        <v>84</v>
      </c>
      <c r="E27" s="15">
        <f>27500</f>
        <v>27500</v>
      </c>
      <c r="F27" s="34" t="s">
        <v>24</v>
      </c>
      <c r="G27" s="11">
        <v>5511</v>
      </c>
      <c r="H27" s="11">
        <v>5554</v>
      </c>
      <c r="I27" s="12">
        <f>ROUND($E27*G27,0)</f>
        <v>151552500</v>
      </c>
      <c r="J27" s="12">
        <f>ROUND($E27*H27,0)</f>
        <v>152735000</v>
      </c>
      <c r="K27" s="41">
        <f t="shared" si="3"/>
        <v>304287500</v>
      </c>
    </row>
    <row r="28" spans="2:12" ht="16.2" thickBot="1">
      <c r="I28" s="44">
        <f>SUM(I20:I27)</f>
        <v>243092100</v>
      </c>
      <c r="J28" s="44">
        <f>SUM(J20:J27)</f>
        <v>14366032</v>
      </c>
      <c r="K28" s="44">
        <f>SUM(K20:K27)</f>
        <v>257458132</v>
      </c>
    </row>
    <row r="29" spans="2:12" ht="16.2" thickBot="1">
      <c r="J29" s="223"/>
      <c r="K29" s="224"/>
    </row>
    <row r="30" spans="2:12" ht="39.6" customHeight="1" thickBot="1">
      <c r="B30" s="52" t="s">
        <v>175</v>
      </c>
      <c r="C30" s="236" t="s">
        <v>83</v>
      </c>
      <c r="D30" s="237" t="s">
        <v>27</v>
      </c>
      <c r="E30" s="237"/>
      <c r="F30" s="237"/>
      <c r="G30" s="237"/>
      <c r="H30" s="238"/>
      <c r="I30" s="239"/>
      <c r="J30" s="240"/>
      <c r="K30" s="241"/>
    </row>
    <row r="31" spans="2:12" ht="31.8" thickBot="1">
      <c r="B31" s="121" t="s">
        <v>15</v>
      </c>
      <c r="C31" s="55"/>
      <c r="D31" s="43" t="s">
        <v>16</v>
      </c>
      <c r="E31" s="43" t="s">
        <v>101</v>
      </c>
      <c r="F31" s="43" t="s">
        <v>102</v>
      </c>
      <c r="G31" s="43" t="s">
        <v>19</v>
      </c>
      <c r="H31" s="43" t="s">
        <v>20</v>
      </c>
      <c r="I31" s="43" t="s">
        <v>2</v>
      </c>
      <c r="J31" s="43" t="s">
        <v>3</v>
      </c>
      <c r="K31" s="43" t="s">
        <v>29</v>
      </c>
    </row>
    <row r="32" spans="2:12" s="8" customFormat="1" ht="46.8">
      <c r="B32" s="14" t="s">
        <v>5</v>
      </c>
      <c r="C32" s="53" t="s">
        <v>42</v>
      </c>
      <c r="D32" s="65" t="s">
        <v>156</v>
      </c>
      <c r="E32" s="15">
        <v>3400</v>
      </c>
      <c r="F32" s="34" t="s">
        <v>24</v>
      </c>
      <c r="G32" s="11">
        <v>5511</v>
      </c>
      <c r="H32" s="11">
        <v>5430</v>
      </c>
      <c r="I32" s="12">
        <f>ROUND($E32*G32,0)</f>
        <v>18737400</v>
      </c>
      <c r="J32" s="12">
        <f>ROUND($E32*H32,0)</f>
        <v>18462000</v>
      </c>
      <c r="K32" s="41">
        <f>I32+J32</f>
        <v>37199400</v>
      </c>
      <c r="L32"/>
    </row>
    <row r="33" spans="2:17" ht="46.8">
      <c r="B33" s="14" t="s">
        <v>7</v>
      </c>
      <c r="C33" s="53" t="s">
        <v>42</v>
      </c>
      <c r="D33" s="65" t="s">
        <v>47</v>
      </c>
      <c r="E33" s="15">
        <v>3400</v>
      </c>
      <c r="F33" s="34" t="s">
        <v>45</v>
      </c>
      <c r="G33" s="11">
        <v>686</v>
      </c>
      <c r="H33" s="11">
        <v>364</v>
      </c>
      <c r="I33" s="12">
        <f t="shared" ref="I33:I43" si="4">ROUND($E33*G33,0)</f>
        <v>2332400</v>
      </c>
      <c r="J33" s="12">
        <f t="shared" ref="J33:J43" si="5">ROUND($E33*H33,0)</f>
        <v>1237600</v>
      </c>
      <c r="K33" s="41">
        <f t="shared" ref="K33:K43" si="6">I33+J33</f>
        <v>3570000</v>
      </c>
    </row>
    <row r="34" spans="2:17" ht="31.2">
      <c r="B34" s="14" t="s">
        <v>8</v>
      </c>
      <c r="C34" s="53" t="s">
        <v>42</v>
      </c>
      <c r="D34" s="65" t="s">
        <v>48</v>
      </c>
      <c r="E34" s="15">
        <v>85</v>
      </c>
      <c r="F34" s="34" t="s">
        <v>23</v>
      </c>
      <c r="G34" s="11">
        <v>413</v>
      </c>
      <c r="H34" s="11">
        <v>4888</v>
      </c>
      <c r="I34" s="12">
        <f t="shared" si="4"/>
        <v>35105</v>
      </c>
      <c r="J34" s="12">
        <f t="shared" si="5"/>
        <v>415480</v>
      </c>
      <c r="K34" s="41">
        <f t="shared" si="6"/>
        <v>450585</v>
      </c>
    </row>
    <row r="35" spans="2:17" ht="15.6">
      <c r="B35" s="14" t="s">
        <v>9</v>
      </c>
      <c r="C35" s="53" t="s">
        <v>42</v>
      </c>
      <c r="D35" s="65" t="s">
        <v>49</v>
      </c>
      <c r="E35" s="15">
        <v>85</v>
      </c>
      <c r="F35" s="34" t="s">
        <v>23</v>
      </c>
      <c r="G35" s="11">
        <v>1586</v>
      </c>
      <c r="H35" s="11">
        <v>871</v>
      </c>
      <c r="I35" s="12">
        <f t="shared" si="4"/>
        <v>134810</v>
      </c>
      <c r="J35" s="12">
        <f t="shared" si="5"/>
        <v>74035</v>
      </c>
      <c r="K35" s="41">
        <f t="shared" si="6"/>
        <v>208845</v>
      </c>
    </row>
    <row r="36" spans="2:17" ht="31.2">
      <c r="B36" s="14" t="s">
        <v>10</v>
      </c>
      <c r="C36" s="53" t="s">
        <v>42</v>
      </c>
      <c r="D36" s="65" t="s">
        <v>50</v>
      </c>
      <c r="E36" s="15">
        <v>85</v>
      </c>
      <c r="F36" s="34" t="s">
        <v>23</v>
      </c>
      <c r="G36" s="11">
        <v>11362</v>
      </c>
      <c r="H36" s="11">
        <v>2405</v>
      </c>
      <c r="I36" s="12">
        <f t="shared" si="4"/>
        <v>965770</v>
      </c>
      <c r="J36" s="12">
        <f t="shared" si="5"/>
        <v>204425</v>
      </c>
      <c r="K36" s="41">
        <f t="shared" si="6"/>
        <v>1170195</v>
      </c>
    </row>
    <row r="37" spans="2:17" ht="31.2">
      <c r="B37" s="14" t="s">
        <v>11</v>
      </c>
      <c r="C37" s="53" t="s">
        <v>42</v>
      </c>
      <c r="D37" s="65" t="s">
        <v>51</v>
      </c>
      <c r="E37" s="15">
        <v>85</v>
      </c>
      <c r="F37" s="34" t="s">
        <v>23</v>
      </c>
      <c r="G37" s="11">
        <v>11674</v>
      </c>
      <c r="H37" s="11">
        <v>2405</v>
      </c>
      <c r="I37" s="12">
        <f t="shared" si="4"/>
        <v>992290</v>
      </c>
      <c r="J37" s="12">
        <f t="shared" si="5"/>
        <v>204425</v>
      </c>
      <c r="K37" s="41">
        <f t="shared" si="6"/>
        <v>1196715</v>
      </c>
    </row>
    <row r="38" spans="2:17" ht="31.2">
      <c r="B38" s="14" t="s">
        <v>12</v>
      </c>
      <c r="C38" s="53" t="s">
        <v>42</v>
      </c>
      <c r="D38" s="65" t="s">
        <v>52</v>
      </c>
      <c r="E38" s="15">
        <v>85</v>
      </c>
      <c r="F38" s="34" t="s">
        <v>23</v>
      </c>
      <c r="G38" s="11">
        <v>10192</v>
      </c>
      <c r="H38" s="11">
        <v>2405</v>
      </c>
      <c r="I38" s="12">
        <f t="shared" si="4"/>
        <v>866320</v>
      </c>
      <c r="J38" s="12">
        <f t="shared" si="5"/>
        <v>204425</v>
      </c>
      <c r="K38" s="41">
        <f t="shared" si="6"/>
        <v>1070745</v>
      </c>
    </row>
    <row r="39" spans="2:17" ht="31.2">
      <c r="B39" s="14" t="s">
        <v>13</v>
      </c>
      <c r="C39" s="53" t="s">
        <v>42</v>
      </c>
      <c r="D39" s="65" t="s">
        <v>53</v>
      </c>
      <c r="E39" s="15">
        <v>85</v>
      </c>
      <c r="F39" s="34" t="s">
        <v>23</v>
      </c>
      <c r="G39" s="11">
        <v>3640</v>
      </c>
      <c r="H39" s="11">
        <v>1885</v>
      </c>
      <c r="I39" s="12">
        <f t="shared" si="4"/>
        <v>309400</v>
      </c>
      <c r="J39" s="12">
        <f t="shared" si="5"/>
        <v>160225</v>
      </c>
      <c r="K39" s="41">
        <f t="shared" si="6"/>
        <v>469625</v>
      </c>
    </row>
    <row r="40" spans="2:17" ht="31.2">
      <c r="B40" s="14" t="s">
        <v>14</v>
      </c>
      <c r="C40" s="53" t="s">
        <v>42</v>
      </c>
      <c r="D40" s="65" t="s">
        <v>54</v>
      </c>
      <c r="E40" s="15">
        <v>85</v>
      </c>
      <c r="F40" s="34" t="s">
        <v>23</v>
      </c>
      <c r="G40" s="11">
        <v>3185</v>
      </c>
      <c r="H40" s="11">
        <v>845</v>
      </c>
      <c r="I40" s="12">
        <f t="shared" si="4"/>
        <v>270725</v>
      </c>
      <c r="J40" s="12">
        <f t="shared" si="5"/>
        <v>71825</v>
      </c>
      <c r="K40" s="41">
        <f t="shared" si="6"/>
        <v>342550</v>
      </c>
    </row>
    <row r="41" spans="2:17" ht="46.8">
      <c r="B41" s="14" t="s">
        <v>59</v>
      </c>
      <c r="C41" s="53" t="s">
        <v>42</v>
      </c>
      <c r="D41" s="65" t="s">
        <v>55</v>
      </c>
      <c r="E41" s="15">
        <v>255</v>
      </c>
      <c r="F41" s="34" t="s">
        <v>45</v>
      </c>
      <c r="G41" s="11">
        <v>481</v>
      </c>
      <c r="H41" s="11">
        <v>663</v>
      </c>
      <c r="I41" s="12">
        <f t="shared" si="4"/>
        <v>122655</v>
      </c>
      <c r="J41" s="12">
        <f t="shared" si="5"/>
        <v>169065</v>
      </c>
      <c r="K41" s="41">
        <f t="shared" si="6"/>
        <v>291720</v>
      </c>
    </row>
    <row r="42" spans="2:17" ht="15.6">
      <c r="B42" s="14" t="s">
        <v>60</v>
      </c>
      <c r="C42" s="53" t="s">
        <v>42</v>
      </c>
      <c r="D42" s="65" t="s">
        <v>56</v>
      </c>
      <c r="E42" s="15">
        <v>1</v>
      </c>
      <c r="F42" s="34" t="s">
        <v>57</v>
      </c>
      <c r="G42" s="11">
        <v>0</v>
      </c>
      <c r="H42" s="11">
        <v>975000</v>
      </c>
      <c r="I42" s="12">
        <f t="shared" si="4"/>
        <v>0</v>
      </c>
      <c r="J42" s="12">
        <f t="shared" si="5"/>
        <v>975000</v>
      </c>
      <c r="K42" s="41">
        <f t="shared" si="6"/>
        <v>975000</v>
      </c>
      <c r="M42" s="40"/>
      <c r="N42" s="40"/>
      <c r="O42" s="40"/>
      <c r="P42" s="40"/>
      <c r="Q42" s="40"/>
    </row>
    <row r="43" spans="2:17" ht="16.2" thickBot="1">
      <c r="B43" s="14" t="s">
        <v>61</v>
      </c>
      <c r="C43" s="53" t="s">
        <v>42</v>
      </c>
      <c r="D43" s="65" t="s">
        <v>58</v>
      </c>
      <c r="E43" s="15">
        <v>8</v>
      </c>
      <c r="F43" s="34" t="s">
        <v>57</v>
      </c>
      <c r="G43" s="11">
        <v>0</v>
      </c>
      <c r="H43" s="11">
        <v>45500</v>
      </c>
      <c r="I43" s="12">
        <f t="shared" si="4"/>
        <v>0</v>
      </c>
      <c r="J43" s="12">
        <f t="shared" si="5"/>
        <v>364000</v>
      </c>
      <c r="K43" s="41">
        <f t="shared" si="6"/>
        <v>364000</v>
      </c>
    </row>
    <row r="44" spans="2:17" ht="16.2" thickBot="1">
      <c r="I44" s="44">
        <f>SUM(I32:I43)</f>
        <v>24766875</v>
      </c>
      <c r="J44" s="44">
        <f>SUM(J32:J43)</f>
        <v>22542505</v>
      </c>
      <c r="K44" s="44">
        <f>SUM(K32:K43)</f>
        <v>47309380</v>
      </c>
    </row>
    <row r="45" spans="2:17" ht="15" thickBot="1"/>
    <row r="46" spans="2:17" ht="37.200000000000003" customHeight="1" thickBot="1">
      <c r="B46" s="52" t="s">
        <v>176</v>
      </c>
      <c r="C46" s="244" t="str">
        <f>Összesítő!C13</f>
        <v xml:space="preserve"> Gurul út -  dilatáció kitöltés polimer fuganyaggal, meglévő szakasz újrafestése, Középfény előkészítés</v>
      </c>
      <c r="D46" s="237"/>
      <c r="E46" s="237"/>
      <c r="F46" s="237"/>
      <c r="G46" s="237"/>
      <c r="H46" s="238"/>
      <c r="I46" s="245"/>
      <c r="J46" s="240"/>
      <c r="K46" s="241"/>
    </row>
    <row r="47" spans="2:17" ht="31.8" thickBot="1">
      <c r="B47" s="121" t="s">
        <v>15</v>
      </c>
      <c r="C47" s="55"/>
      <c r="D47" s="43" t="s">
        <v>16</v>
      </c>
      <c r="E47" s="43" t="s">
        <v>101</v>
      </c>
      <c r="F47" s="43" t="s">
        <v>102</v>
      </c>
      <c r="G47" s="43" t="s">
        <v>19</v>
      </c>
      <c r="H47" s="43" t="s">
        <v>20</v>
      </c>
      <c r="I47" s="43" t="s">
        <v>2</v>
      </c>
      <c r="J47" s="43" t="s">
        <v>3</v>
      </c>
      <c r="K47" s="43" t="s">
        <v>29</v>
      </c>
    </row>
    <row r="48" spans="2:17" ht="18.600000000000001" thickBot="1">
      <c r="B48" s="103" t="s">
        <v>177</v>
      </c>
      <c r="C48" s="104"/>
      <c r="D48" s="105" t="s">
        <v>80</v>
      </c>
      <c r="E48" s="104"/>
      <c r="F48" s="106"/>
      <c r="G48" s="104"/>
      <c r="H48" s="104"/>
      <c r="I48" s="104"/>
      <c r="J48" s="104"/>
      <c r="K48" s="44">
        <f>SUM(K49:K50)</f>
        <v>6913675</v>
      </c>
    </row>
    <row r="49" spans="2:11" ht="31.2">
      <c r="B49" s="31" t="s">
        <v>73</v>
      </c>
      <c r="C49" s="64" t="s">
        <v>46</v>
      </c>
      <c r="D49" s="45" t="s">
        <v>137</v>
      </c>
      <c r="E49" s="91">
        <v>-2425</v>
      </c>
      <c r="F49" s="33" t="s">
        <v>45</v>
      </c>
      <c r="G49" s="27">
        <v>2660</v>
      </c>
      <c r="H49" s="27"/>
      <c r="I49" s="25">
        <f>E49*G49</f>
        <v>-6450500</v>
      </c>
      <c r="J49" s="25">
        <f>E49*H49</f>
        <v>0</v>
      </c>
      <c r="K49" s="41">
        <f t="shared" ref="K49:K63" si="7">I49+J49</f>
        <v>-6450500</v>
      </c>
    </row>
    <row r="50" spans="2:11" ht="48.6" customHeight="1">
      <c r="B50" s="102" t="s">
        <v>5</v>
      </c>
      <c r="C50" s="123" t="s">
        <v>98</v>
      </c>
      <c r="D50" s="26" t="s">
        <v>81</v>
      </c>
      <c r="E50" s="15">
        <v>2425</v>
      </c>
      <c r="F50" s="34" t="s">
        <v>24</v>
      </c>
      <c r="G50" s="11">
        <v>5511</v>
      </c>
      <c r="H50" s="11"/>
      <c r="I50" s="12">
        <f>ROUND($E50*G50,0)</f>
        <v>13364175</v>
      </c>
      <c r="J50" s="12">
        <f>ROUND($E50*H50,0)</f>
        <v>0</v>
      </c>
      <c r="K50" s="41">
        <f t="shared" si="7"/>
        <v>13364175</v>
      </c>
    </row>
    <row r="51" spans="2:11" ht="18">
      <c r="B51" s="103" t="s">
        <v>178</v>
      </c>
      <c r="C51" s="104"/>
      <c r="D51" s="105" t="s">
        <v>96</v>
      </c>
      <c r="E51" s="104"/>
      <c r="F51" s="106"/>
      <c r="G51" s="104"/>
      <c r="H51" s="104"/>
      <c r="I51" s="104"/>
      <c r="J51" s="104"/>
      <c r="K51" s="107"/>
    </row>
    <row r="52" spans="2:11" ht="31.8" thickBot="1">
      <c r="B52" s="102" t="s">
        <v>5</v>
      </c>
      <c r="C52" s="53" t="s">
        <v>42</v>
      </c>
      <c r="D52" s="65" t="s">
        <v>138</v>
      </c>
      <c r="E52" s="15">
        <v>1</v>
      </c>
      <c r="F52" s="34" t="s">
        <v>22</v>
      </c>
      <c r="G52" s="11">
        <f>4445853-815565</f>
        <v>3630288</v>
      </c>
      <c r="H52" s="11">
        <v>2636250</v>
      </c>
      <c r="I52" s="12">
        <f>ROUND($E52*G52,0)</f>
        <v>3630288</v>
      </c>
      <c r="J52" s="12">
        <f>ROUND($E52*H52,0)</f>
        <v>2636250</v>
      </c>
      <c r="K52" s="41">
        <f>I52+J52</f>
        <v>6266538</v>
      </c>
    </row>
    <row r="53" spans="2:11" ht="18.600000000000001" thickBot="1">
      <c r="B53" s="103" t="s">
        <v>179</v>
      </c>
      <c r="C53" s="104"/>
      <c r="D53" s="105" t="s">
        <v>95</v>
      </c>
      <c r="E53" s="104"/>
      <c r="F53" s="106"/>
      <c r="G53" s="104"/>
      <c r="H53" s="104"/>
      <c r="I53" s="104"/>
      <c r="J53" s="104"/>
      <c r="K53" s="44">
        <f>SUM(K54:K63)</f>
        <v>21765575</v>
      </c>
    </row>
    <row r="54" spans="2:11" ht="36" customHeight="1">
      <c r="B54" s="14" t="s">
        <v>5</v>
      </c>
      <c r="C54" s="53" t="s">
        <v>42</v>
      </c>
      <c r="D54" s="65" t="s">
        <v>90</v>
      </c>
      <c r="E54" s="15">
        <v>650</v>
      </c>
      <c r="F54" s="34" t="s">
        <v>21</v>
      </c>
      <c r="G54" s="11">
        <v>0</v>
      </c>
      <c r="H54" s="11">
        <v>7670</v>
      </c>
      <c r="I54" s="12">
        <f t="shared" ref="I54:J56" si="8">ROUND($E54*G54,0)</f>
        <v>0</v>
      </c>
      <c r="J54" s="12">
        <f t="shared" si="8"/>
        <v>4985500</v>
      </c>
      <c r="K54" s="41">
        <f>I54+J54</f>
        <v>4985500</v>
      </c>
    </row>
    <row r="55" spans="2:11" ht="31.2">
      <c r="B55" s="14" t="s">
        <v>7</v>
      </c>
      <c r="C55" s="53" t="s">
        <v>42</v>
      </c>
      <c r="D55" s="65" t="s">
        <v>92</v>
      </c>
      <c r="E55" s="15">
        <v>125</v>
      </c>
      <c r="F55" s="34" t="s">
        <v>21</v>
      </c>
      <c r="G55" s="11">
        <v>0</v>
      </c>
      <c r="H55" s="11">
        <v>7670</v>
      </c>
      <c r="I55" s="12">
        <f t="shared" si="8"/>
        <v>0</v>
      </c>
      <c r="J55" s="12">
        <f t="shared" si="8"/>
        <v>958750</v>
      </c>
      <c r="K55" s="41">
        <f>I55+J55</f>
        <v>958750</v>
      </c>
    </row>
    <row r="56" spans="2:11" ht="31.2">
      <c r="B56" s="14" t="s">
        <v>8</v>
      </c>
      <c r="C56" s="53" t="s">
        <v>42</v>
      </c>
      <c r="D56" s="65" t="s">
        <v>91</v>
      </c>
      <c r="E56" s="15">
        <v>1</v>
      </c>
      <c r="F56" s="34" t="s">
        <v>22</v>
      </c>
      <c r="G56" s="11">
        <v>0</v>
      </c>
      <c r="H56" s="11">
        <v>965250</v>
      </c>
      <c r="I56" s="12">
        <f t="shared" si="8"/>
        <v>0</v>
      </c>
      <c r="J56" s="12">
        <f t="shared" si="8"/>
        <v>965250</v>
      </c>
      <c r="K56" s="41">
        <f>I56+J56</f>
        <v>965250</v>
      </c>
    </row>
    <row r="57" spans="2:11" ht="31.2">
      <c r="B57" s="14" t="s">
        <v>9</v>
      </c>
      <c r="C57" s="53" t="s">
        <v>42</v>
      </c>
      <c r="D57" s="65" t="s">
        <v>85</v>
      </c>
      <c r="E57" s="15">
        <v>200</v>
      </c>
      <c r="F57" s="34" t="s">
        <v>21</v>
      </c>
      <c r="G57" s="11">
        <v>4160</v>
      </c>
      <c r="H57" s="11">
        <v>2925</v>
      </c>
      <c r="I57" s="12">
        <f>ROUND($E57*G57,0)</f>
        <v>832000</v>
      </c>
      <c r="J57" s="12">
        <f>ROUND($E57*H57,0)</f>
        <v>585000</v>
      </c>
      <c r="K57" s="41">
        <f t="shared" si="7"/>
        <v>1417000</v>
      </c>
    </row>
    <row r="58" spans="2:11" ht="31.2">
      <c r="B58" s="14" t="s">
        <v>10</v>
      </c>
      <c r="C58" s="53" t="s">
        <v>42</v>
      </c>
      <c r="D58" s="65" t="s">
        <v>86</v>
      </c>
      <c r="E58" s="15">
        <v>830</v>
      </c>
      <c r="F58" s="34" t="s">
        <v>21</v>
      </c>
      <c r="G58" s="11">
        <v>5005</v>
      </c>
      <c r="H58" s="11">
        <v>5525</v>
      </c>
      <c r="I58" s="12">
        <f t="shared" ref="I58:I63" si="9">ROUND($E58*G58,0)</f>
        <v>4154150</v>
      </c>
      <c r="J58" s="12">
        <f t="shared" ref="J58:J63" si="10">ROUND($E58*H58,0)</f>
        <v>4585750</v>
      </c>
      <c r="K58" s="41">
        <f t="shared" si="7"/>
        <v>8739900</v>
      </c>
    </row>
    <row r="59" spans="2:11" ht="31.2">
      <c r="B59" s="14" t="s">
        <v>11</v>
      </c>
      <c r="C59" s="53" t="s">
        <v>42</v>
      </c>
      <c r="D59" s="65" t="s">
        <v>87</v>
      </c>
      <c r="E59" s="15">
        <v>100</v>
      </c>
      <c r="F59" s="34" t="s">
        <v>21</v>
      </c>
      <c r="G59" s="11">
        <v>5005</v>
      </c>
      <c r="H59" s="11">
        <v>5525</v>
      </c>
      <c r="I59" s="12">
        <f t="shared" si="9"/>
        <v>500500</v>
      </c>
      <c r="J59" s="12">
        <f t="shared" si="10"/>
        <v>552500</v>
      </c>
      <c r="K59" s="41">
        <f t="shared" si="7"/>
        <v>1053000</v>
      </c>
    </row>
    <row r="60" spans="2:11" ht="31.2">
      <c r="B60" s="14" t="s">
        <v>12</v>
      </c>
      <c r="C60" s="53" t="s">
        <v>42</v>
      </c>
      <c r="D60" s="65" t="s">
        <v>88</v>
      </c>
      <c r="E60" s="15">
        <v>285</v>
      </c>
      <c r="F60" s="34" t="s">
        <v>21</v>
      </c>
      <c r="G60" s="11">
        <v>5265</v>
      </c>
      <c r="H60" s="11">
        <v>2925</v>
      </c>
      <c r="I60" s="12">
        <f t="shared" si="9"/>
        <v>1500525</v>
      </c>
      <c r="J60" s="12">
        <f t="shared" si="10"/>
        <v>833625</v>
      </c>
      <c r="K60" s="41">
        <f t="shared" si="7"/>
        <v>2334150</v>
      </c>
    </row>
    <row r="61" spans="2:11" ht="31.2">
      <c r="B61" s="14" t="s">
        <v>13</v>
      </c>
      <c r="C61" s="53" t="s">
        <v>42</v>
      </c>
      <c r="D61" s="65" t="s">
        <v>89</v>
      </c>
      <c r="E61" s="15">
        <v>25</v>
      </c>
      <c r="F61" s="34" t="s">
        <v>21</v>
      </c>
      <c r="G61" s="11">
        <v>5525</v>
      </c>
      <c r="H61" s="11">
        <v>5525</v>
      </c>
      <c r="I61" s="12">
        <f t="shared" si="9"/>
        <v>138125</v>
      </c>
      <c r="J61" s="12">
        <f t="shared" si="10"/>
        <v>138125</v>
      </c>
      <c r="K61" s="41">
        <f t="shared" si="7"/>
        <v>276250</v>
      </c>
    </row>
    <row r="62" spans="2:11" ht="31.2">
      <c r="B62" s="14" t="s">
        <v>14</v>
      </c>
      <c r="C62" s="53" t="s">
        <v>42</v>
      </c>
      <c r="D62" s="65" t="s">
        <v>93</v>
      </c>
      <c r="E62" s="15">
        <v>125</v>
      </c>
      <c r="F62" s="34" t="s">
        <v>21</v>
      </c>
      <c r="G62" s="11">
        <v>4160</v>
      </c>
      <c r="H62" s="11">
        <v>2925</v>
      </c>
      <c r="I62" s="12">
        <f t="shared" si="9"/>
        <v>520000</v>
      </c>
      <c r="J62" s="12">
        <f t="shared" si="10"/>
        <v>365625</v>
      </c>
      <c r="K62" s="41">
        <f t="shared" si="7"/>
        <v>885625</v>
      </c>
    </row>
    <row r="63" spans="2:11" ht="47.4" thickBot="1">
      <c r="B63" s="14" t="s">
        <v>59</v>
      </c>
      <c r="C63" s="53" t="s">
        <v>42</v>
      </c>
      <c r="D63" s="65" t="s">
        <v>94</v>
      </c>
      <c r="E63" s="15">
        <v>15</v>
      </c>
      <c r="F63" s="34" t="s">
        <v>21</v>
      </c>
      <c r="G63" s="11">
        <v>5005</v>
      </c>
      <c r="H63" s="11">
        <v>5005</v>
      </c>
      <c r="I63" s="12">
        <f t="shared" si="9"/>
        <v>75075</v>
      </c>
      <c r="J63" s="12">
        <f t="shared" si="10"/>
        <v>75075</v>
      </c>
      <c r="K63" s="41">
        <f t="shared" si="7"/>
        <v>150150</v>
      </c>
    </row>
    <row r="64" spans="2:11" ht="16.2" thickBot="1">
      <c r="I64" s="44">
        <f>SUM(I49:I63)</f>
        <v>18264338</v>
      </c>
      <c r="J64" s="44">
        <f>SUM(J49:J63)</f>
        <v>16681450</v>
      </c>
      <c r="K64" s="44">
        <f>I64+J64</f>
        <v>34945788</v>
      </c>
    </row>
    <row r="65" spans="3:12" ht="18.600000000000001" customHeight="1">
      <c r="K65" s="40"/>
    </row>
    <row r="66" spans="3:12" ht="18">
      <c r="D66" s="90" t="s">
        <v>79</v>
      </c>
    </row>
    <row r="68" spans="3:12" s="82" customFormat="1" ht="15.6">
      <c r="C68" s="242" t="s">
        <v>78</v>
      </c>
      <c r="D68" s="243"/>
      <c r="E68" s="83"/>
      <c r="F68" s="83"/>
      <c r="G68" s="84"/>
      <c r="H68" s="84"/>
      <c r="I68" s="83"/>
      <c r="J68" s="83"/>
    </row>
    <row r="69" spans="3:12" s="82" customFormat="1" ht="15.6">
      <c r="C69" s="74" t="s">
        <v>15</v>
      </c>
      <c r="D69" s="88" t="s">
        <v>16</v>
      </c>
      <c r="E69" s="88" t="s">
        <v>17</v>
      </c>
      <c r="F69" s="88" t="s">
        <v>18</v>
      </c>
      <c r="G69" s="89" t="s">
        <v>19</v>
      </c>
      <c r="H69" s="89" t="s">
        <v>20</v>
      </c>
      <c r="I69" s="89" t="s">
        <v>2</v>
      </c>
      <c r="J69" s="89" t="s">
        <v>3</v>
      </c>
    </row>
    <row r="70" spans="3:12" ht="15.6">
      <c r="C70" s="66" t="s">
        <v>73</v>
      </c>
      <c r="D70" s="76" t="s">
        <v>74</v>
      </c>
      <c r="E70" s="77">
        <v>2425</v>
      </c>
      <c r="F70" s="78" t="s">
        <v>45</v>
      </c>
      <c r="G70" s="79">
        <v>2660</v>
      </c>
      <c r="H70" s="79">
        <v>3325</v>
      </c>
      <c r="I70" s="80">
        <f>E70*G70</f>
        <v>6450500</v>
      </c>
      <c r="J70" s="81">
        <f>E70*H70</f>
        <v>8063125</v>
      </c>
      <c r="L70" s="10"/>
    </row>
    <row r="71" spans="3:12" s="8" customFormat="1" ht="31.2">
      <c r="C71" s="66" t="s">
        <v>75</v>
      </c>
      <c r="D71" s="76" t="s">
        <v>76</v>
      </c>
      <c r="E71" s="77">
        <v>1</v>
      </c>
      <c r="F71" s="78" t="s">
        <v>77</v>
      </c>
      <c r="G71" s="79">
        <v>4156250</v>
      </c>
      <c r="H71" s="79">
        <v>623438</v>
      </c>
      <c r="I71" s="80">
        <f>E71*G71</f>
        <v>4156250</v>
      </c>
      <c r="J71" s="81">
        <f>E71*H71</f>
        <v>623438</v>
      </c>
    </row>
    <row r="72" spans="3:12" s="8" customFormat="1">
      <c r="K72"/>
    </row>
    <row r="73" spans="3:12" s="8" customFormat="1" ht="15.6">
      <c r="C73" s="85" t="s">
        <v>65</v>
      </c>
      <c r="D73" s="86"/>
      <c r="E73" s="87"/>
      <c r="F73" s="87"/>
      <c r="G73" s="72"/>
      <c r="H73" s="72"/>
      <c r="I73" s="73">
        <f>SUM(I75:I79)</f>
        <v>144262440</v>
      </c>
      <c r="J73" s="73">
        <f>SUM(J75:J79)</f>
        <v>334027480</v>
      </c>
      <c r="K73"/>
    </row>
    <row r="74" spans="3:12" ht="15.6">
      <c r="C74" s="74" t="s">
        <v>15</v>
      </c>
      <c r="D74" s="88" t="s">
        <v>16</v>
      </c>
      <c r="E74" s="88" t="s">
        <v>17</v>
      </c>
      <c r="F74" s="88" t="s">
        <v>18</v>
      </c>
      <c r="G74" s="89" t="s">
        <v>19</v>
      </c>
      <c r="H74" s="89" t="s">
        <v>20</v>
      </c>
      <c r="I74" s="89" t="s">
        <v>2</v>
      </c>
      <c r="J74" s="89" t="s">
        <v>3</v>
      </c>
    </row>
    <row r="75" spans="3:12" ht="31.2">
      <c r="C75" s="66" t="s">
        <v>66</v>
      </c>
      <c r="D75" s="75" t="s">
        <v>67</v>
      </c>
      <c r="E75" s="68">
        <v>29952</v>
      </c>
      <c r="F75" s="69" t="s">
        <v>45</v>
      </c>
      <c r="G75" s="70">
        <v>0</v>
      </c>
      <c r="H75" s="70">
        <v>3192</v>
      </c>
      <c r="I75" s="71">
        <f>E75*G75</f>
        <v>0</v>
      </c>
      <c r="J75" s="71">
        <f>E75*H75</f>
        <v>95606784</v>
      </c>
    </row>
    <row r="76" spans="3:12" ht="31.2">
      <c r="C76" s="66" t="s">
        <v>68</v>
      </c>
      <c r="D76" s="75" t="s">
        <v>69</v>
      </c>
      <c r="E76" s="68">
        <v>2994</v>
      </c>
      <c r="F76" s="69" t="s">
        <v>21</v>
      </c>
      <c r="G76" s="70">
        <v>0</v>
      </c>
      <c r="H76" s="70">
        <v>2594</v>
      </c>
      <c r="I76" s="71">
        <f>E76*G76</f>
        <v>0</v>
      </c>
      <c r="J76" s="71">
        <f>E76*H76</f>
        <v>7766436</v>
      </c>
    </row>
    <row r="77" spans="3:12" ht="31.2">
      <c r="C77" s="66" t="s">
        <v>70</v>
      </c>
      <c r="D77" s="75" t="s">
        <v>71</v>
      </c>
      <c r="E77" s="68">
        <v>29940</v>
      </c>
      <c r="F77" s="69" t="s">
        <v>45</v>
      </c>
      <c r="G77" s="70">
        <v>1330</v>
      </c>
      <c r="H77" s="70">
        <v>2195</v>
      </c>
      <c r="I77" s="71">
        <f>E77*G77</f>
        <v>39820200</v>
      </c>
      <c r="J77" s="71">
        <f>E77*H77</f>
        <v>65718300</v>
      </c>
    </row>
    <row r="78" spans="3:12" ht="15.6">
      <c r="C78" s="66" t="s">
        <v>72</v>
      </c>
      <c r="D78" s="75" t="s">
        <v>44</v>
      </c>
      <c r="E78" s="68">
        <v>27500</v>
      </c>
      <c r="F78" s="69" t="s">
        <v>45</v>
      </c>
      <c r="G78" s="70">
        <v>1596</v>
      </c>
      <c r="H78" s="70">
        <v>5054</v>
      </c>
      <c r="I78" s="71">
        <f>E78*G78</f>
        <v>43890000</v>
      </c>
      <c r="J78" s="71">
        <f>E78*H78</f>
        <v>138985000</v>
      </c>
    </row>
    <row r="79" spans="3:12" ht="15.6">
      <c r="C79" s="66" t="s">
        <v>63</v>
      </c>
      <c r="D79" s="67" t="s">
        <v>64</v>
      </c>
      <c r="E79" s="68">
        <v>5420</v>
      </c>
      <c r="F79" s="69" t="s">
        <v>21</v>
      </c>
      <c r="G79" s="70">
        <v>11172</v>
      </c>
      <c r="H79" s="70">
        <v>4788</v>
      </c>
      <c r="I79" s="71">
        <f>E79*G79</f>
        <v>60552240</v>
      </c>
      <c r="J79" s="71">
        <f>E79*H79</f>
        <v>25950960</v>
      </c>
    </row>
  </sheetData>
  <mergeCells count="10">
    <mergeCell ref="C2:H2"/>
    <mergeCell ref="C30:H30"/>
    <mergeCell ref="I30:K30"/>
    <mergeCell ref="C68:D68"/>
    <mergeCell ref="C46:H46"/>
    <mergeCell ref="I46:K46"/>
    <mergeCell ref="I3:K3"/>
    <mergeCell ref="C3:H3"/>
    <mergeCell ref="C17:H17"/>
    <mergeCell ref="I17:K17"/>
  </mergeCells>
  <phoneticPr fontId="12" type="noConversion"/>
  <pageMargins left="0.43307086614173229" right="0.43307086614173229" top="0.55118110236220474" bottom="0.55118110236220474" header="0.31496062992125984" footer="0.31496062992125984"/>
  <pageSetup paperSize="9" scale="60" fitToHeight="0" orientation="portrait" r:id="rId1"/>
  <headerFooter>
    <oddFooter>&amp;R&amp;P</oddFooter>
  </headerFooter>
  <rowBreaks count="1" manualBreakCount="1">
    <brk id="29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04DE1-B45D-4ECC-B962-83CF256E80FC}">
  <sheetPr>
    <tabColor theme="0"/>
    <pageSetUpPr fitToPage="1"/>
  </sheetPr>
  <dimension ref="B1:N45"/>
  <sheetViews>
    <sheetView view="pageBreakPreview" topLeftCell="A18" zoomScale="90" zoomScaleNormal="40" zoomScaleSheetLayoutView="90" workbookViewId="0">
      <selection activeCell="L9" sqref="L9"/>
    </sheetView>
  </sheetViews>
  <sheetFormatPr defaultRowHeight="14.4"/>
  <cols>
    <col min="1" max="1" width="1.5546875" customWidth="1"/>
    <col min="2" max="2" width="8.6640625" customWidth="1"/>
    <col min="3" max="3" width="6.21875" bestFit="1" customWidth="1"/>
    <col min="4" max="4" width="46.33203125" customWidth="1"/>
    <col min="5" max="5" width="8.109375" customWidth="1"/>
    <col min="6" max="6" width="5.109375" style="35" bestFit="1" customWidth="1"/>
    <col min="7" max="8" width="13.21875" bestFit="1" customWidth="1"/>
    <col min="9" max="9" width="14.44140625" customWidth="1"/>
    <col min="10" max="10" width="15.109375" customWidth="1"/>
    <col min="11" max="11" width="14.5546875" bestFit="1" customWidth="1"/>
    <col min="12" max="12" width="19.6640625" style="182" customWidth="1"/>
    <col min="13" max="13" width="24.77734375" customWidth="1"/>
    <col min="14" max="14" width="14.5546875" bestFit="1" customWidth="1"/>
    <col min="16" max="16" width="14.5546875" bestFit="1" customWidth="1"/>
    <col min="17" max="17" width="14.6640625" bestFit="1" customWidth="1"/>
  </cols>
  <sheetData>
    <row r="1" spans="2:14" ht="138.6" customHeight="1" thickBot="1"/>
    <row r="2" spans="2:14" ht="40.799999999999997" customHeight="1" thickBot="1">
      <c r="B2" s="52" t="s">
        <v>165</v>
      </c>
      <c r="C2" s="236" t="str">
        <f>Összesítő!C9</f>
        <v xml:space="preserve"> Futópálya és Gurulóút pályaszerkezeti hibák, új dilatációk, emelt műszaki tartalom többlet költségek:</v>
      </c>
      <c r="D2" s="237"/>
      <c r="E2" s="237"/>
      <c r="F2" s="237"/>
      <c r="G2" s="237"/>
      <c r="H2" s="238"/>
      <c r="I2" s="248">
        <f>I13</f>
        <v>17135616</v>
      </c>
      <c r="J2" s="248">
        <f>J13</f>
        <v>9021643</v>
      </c>
      <c r="K2" s="250">
        <f>I2+J2</f>
        <v>26157259</v>
      </c>
    </row>
    <row r="3" spans="2:14" ht="18.600000000000001" thickBot="1">
      <c r="B3" s="52" t="s">
        <v>165</v>
      </c>
      <c r="C3" s="236" t="s">
        <v>180</v>
      </c>
      <c r="D3" s="237"/>
      <c r="E3" s="237"/>
      <c r="F3" s="237"/>
      <c r="G3" s="237"/>
      <c r="H3" s="238"/>
      <c r="I3" s="249"/>
      <c r="J3" s="249"/>
      <c r="K3" s="251"/>
      <c r="L3" s="10"/>
    </row>
    <row r="4" spans="2:14" s="8" customFormat="1" ht="31.8" thickBot="1">
      <c r="B4" s="42" t="s">
        <v>15</v>
      </c>
      <c r="C4" s="55" t="s">
        <v>141</v>
      </c>
      <c r="D4" s="43" t="s">
        <v>16</v>
      </c>
      <c r="E4" s="43" t="s">
        <v>17</v>
      </c>
      <c r="F4" s="43" t="s">
        <v>102</v>
      </c>
      <c r="G4" s="43" t="s">
        <v>19</v>
      </c>
      <c r="H4" s="43" t="s">
        <v>20</v>
      </c>
      <c r="I4" s="43" t="s">
        <v>2</v>
      </c>
      <c r="J4" s="43" t="s">
        <v>3</v>
      </c>
      <c r="K4" s="43" t="s">
        <v>29</v>
      </c>
      <c r="L4" s="43" t="s">
        <v>28</v>
      </c>
      <c r="N4"/>
    </row>
    <row r="5" spans="2:14" ht="46.8">
      <c r="B5" s="195" t="s">
        <v>7</v>
      </c>
      <c r="C5" s="164" t="s">
        <v>42</v>
      </c>
      <c r="D5" s="196" t="s">
        <v>34</v>
      </c>
      <c r="E5" s="197">
        <v>10</v>
      </c>
      <c r="F5" s="198" t="s">
        <v>25</v>
      </c>
      <c r="G5" s="167">
        <v>0</v>
      </c>
      <c r="H5" s="167">
        <v>161144</v>
      </c>
      <c r="I5" s="168"/>
      <c r="J5" s="168"/>
      <c r="K5" s="169"/>
      <c r="L5" s="199" t="s">
        <v>155</v>
      </c>
      <c r="M5" s="37"/>
    </row>
    <row r="6" spans="2:14" s="170" customFormat="1" ht="46.8">
      <c r="B6" s="163" t="s">
        <v>132</v>
      </c>
      <c r="C6" s="164" t="s">
        <v>42</v>
      </c>
      <c r="D6" s="165" t="s">
        <v>131</v>
      </c>
      <c r="E6" s="171">
        <v>10</v>
      </c>
      <c r="F6" s="166" t="s">
        <v>25</v>
      </c>
      <c r="G6" s="167">
        <v>0</v>
      </c>
      <c r="H6" s="167">
        <v>161144</v>
      </c>
      <c r="I6" s="168">
        <f t="shared" ref="I6:J12" si="0">ROUND($E6*G6,0)</f>
        <v>0</v>
      </c>
      <c r="J6" s="168">
        <f t="shared" si="0"/>
        <v>1611440</v>
      </c>
      <c r="K6" s="169">
        <f>I6+J6</f>
        <v>1611440</v>
      </c>
      <c r="L6" s="194" t="s">
        <v>182</v>
      </c>
    </row>
    <row r="7" spans="2:14" s="170" customFormat="1" ht="7.8" customHeight="1">
      <c r="B7" s="207"/>
      <c r="C7" s="208"/>
      <c r="D7" s="209"/>
      <c r="E7" s="210"/>
      <c r="F7" s="203"/>
      <c r="G7" s="204"/>
      <c r="H7" s="204"/>
      <c r="I7" s="205"/>
      <c r="J7" s="205"/>
      <c r="K7" s="206"/>
      <c r="L7" s="194"/>
    </row>
    <row r="8" spans="2:14" ht="46.8">
      <c r="B8" s="195" t="s">
        <v>9</v>
      </c>
      <c r="C8" s="164" t="s">
        <v>42</v>
      </c>
      <c r="D8" s="196" t="s">
        <v>35</v>
      </c>
      <c r="E8" s="200">
        <v>719</v>
      </c>
      <c r="F8" s="198" t="s">
        <v>23</v>
      </c>
      <c r="G8" s="167">
        <v>387</v>
      </c>
      <c r="H8" s="167">
        <v>960</v>
      </c>
      <c r="I8" s="168"/>
      <c r="J8" s="168"/>
      <c r="K8" s="169"/>
      <c r="L8" s="201" t="s">
        <v>155</v>
      </c>
    </row>
    <row r="9" spans="2:14" s="170" customFormat="1" ht="46.8">
      <c r="B9" s="163" t="s">
        <v>133</v>
      </c>
      <c r="C9" s="164" t="s">
        <v>42</v>
      </c>
      <c r="D9" s="165" t="s">
        <v>35</v>
      </c>
      <c r="E9" s="171">
        <v>242</v>
      </c>
      <c r="F9" s="166" t="s">
        <v>23</v>
      </c>
      <c r="G9" s="167">
        <v>387</v>
      </c>
      <c r="H9" s="167">
        <v>960</v>
      </c>
      <c r="I9" s="168">
        <f t="shared" si="0"/>
        <v>93654</v>
      </c>
      <c r="J9" s="168">
        <f t="shared" si="0"/>
        <v>232320</v>
      </c>
      <c r="K9" s="169">
        <f>I9+J9</f>
        <v>325974</v>
      </c>
      <c r="L9" s="194" t="s">
        <v>182</v>
      </c>
    </row>
    <row r="10" spans="2:14" s="170" customFormat="1" ht="7.2" customHeight="1">
      <c r="B10" s="207"/>
      <c r="C10" s="208"/>
      <c r="D10" s="209"/>
      <c r="E10" s="210"/>
      <c r="F10" s="203"/>
      <c r="G10" s="204"/>
      <c r="H10" s="204"/>
      <c r="I10" s="205"/>
      <c r="J10" s="205"/>
      <c r="K10" s="206"/>
      <c r="L10" s="194"/>
    </row>
    <row r="11" spans="2:14" ht="108" customHeight="1">
      <c r="B11" s="202" t="s">
        <v>10</v>
      </c>
      <c r="C11" s="164" t="s">
        <v>42</v>
      </c>
      <c r="D11" s="196" t="s">
        <v>181</v>
      </c>
      <c r="E11" s="200">
        <v>7.5</v>
      </c>
      <c r="F11" s="198" t="s">
        <v>25</v>
      </c>
      <c r="G11" s="167">
        <v>4963247</v>
      </c>
      <c r="H11" s="167">
        <v>1869275</v>
      </c>
      <c r="I11" s="168"/>
      <c r="J11" s="168"/>
      <c r="K11" s="169"/>
      <c r="L11" s="201" t="s">
        <v>155</v>
      </c>
    </row>
    <row r="12" spans="2:14" ht="112.8" customHeight="1" thickBot="1">
      <c r="B12" s="163" t="s">
        <v>134</v>
      </c>
      <c r="C12" s="53" t="s">
        <v>42</v>
      </c>
      <c r="D12" s="56" t="s">
        <v>39</v>
      </c>
      <c r="E12" s="171">
        <v>4.3</v>
      </c>
      <c r="F12" s="57" t="s">
        <v>25</v>
      </c>
      <c r="G12" s="11">
        <v>3963247</v>
      </c>
      <c r="H12" s="11">
        <v>1669275</v>
      </c>
      <c r="I12" s="12">
        <f t="shared" si="0"/>
        <v>17041962</v>
      </c>
      <c r="J12" s="12">
        <f t="shared" si="0"/>
        <v>7177883</v>
      </c>
      <c r="K12" s="41">
        <f>I12+J12</f>
        <v>24219845</v>
      </c>
      <c r="L12" s="194" t="s">
        <v>182</v>
      </c>
    </row>
    <row r="13" spans="2:14" ht="16.2" thickBot="1">
      <c r="B13" s="22"/>
      <c r="C13" s="22"/>
      <c r="D13" s="23"/>
      <c r="E13" s="24"/>
      <c r="F13" s="36"/>
      <c r="G13" s="17"/>
      <c r="H13" s="17"/>
      <c r="I13" s="44">
        <f>SUM(I5:I12)</f>
        <v>17135616</v>
      </c>
      <c r="J13" s="44">
        <f>SUM(J5:J12)</f>
        <v>9021643</v>
      </c>
      <c r="K13" s="44">
        <f>SUM(K5:K12)</f>
        <v>26157259</v>
      </c>
    </row>
    <row r="14" spans="2:14" ht="15.6">
      <c r="D14" s="67"/>
      <c r="E14" s="93"/>
      <c r="F14" s="93"/>
      <c r="G14" s="94"/>
      <c r="H14" s="94"/>
      <c r="I14" s="94"/>
      <c r="J14" s="94"/>
    </row>
    <row r="15" spans="2:14" ht="31.8" thickBot="1">
      <c r="B15" s="212" t="s">
        <v>149</v>
      </c>
      <c r="C15" s="53"/>
      <c r="D15" s="21" t="s">
        <v>103</v>
      </c>
      <c r="E15" s="20">
        <v>1</v>
      </c>
      <c r="F15" s="18" t="s">
        <v>21</v>
      </c>
      <c r="G15" s="255">
        <f>'2. GURULÓÚT alap költségvetés'!H24</f>
        <v>69597.913297872336</v>
      </c>
      <c r="H15" s="256"/>
      <c r="I15" s="12"/>
      <c r="J15" s="12"/>
      <c r="K15" s="162">
        <f>K13/G15</f>
        <v>375.83395479185509</v>
      </c>
      <c r="L15" s="120" t="s">
        <v>21</v>
      </c>
    </row>
    <row r="16" spans="2:14" ht="16.2" thickBot="1">
      <c r="D16" s="67"/>
      <c r="E16" s="93"/>
      <c r="F16" s="93"/>
      <c r="G16" s="94"/>
      <c r="H16" s="94"/>
      <c r="I16" s="94"/>
      <c r="J16" s="94"/>
      <c r="K16" s="44">
        <f>G15*K15</f>
        <v>26157259</v>
      </c>
    </row>
    <row r="17" spans="2:12" ht="15.6">
      <c r="D17" s="67"/>
      <c r="E17" s="93"/>
      <c r="F17" s="93"/>
      <c r="G17" s="94"/>
      <c r="H17" s="94"/>
      <c r="I17" s="94"/>
      <c r="J17" s="94"/>
      <c r="K17" s="211"/>
    </row>
    <row r="18" spans="2:12" ht="28.8" customHeight="1">
      <c r="B18" s="257" t="s">
        <v>150</v>
      </c>
      <c r="C18" s="258"/>
      <c r="D18" s="259"/>
      <c r="E18" s="20">
        <v>25</v>
      </c>
      <c r="F18" s="18" t="s">
        <v>21</v>
      </c>
      <c r="G18" s="12"/>
      <c r="H18" s="227">
        <f>E18*15</f>
        <v>375</v>
      </c>
      <c r="I18" s="216" t="s">
        <v>21</v>
      </c>
      <c r="J18" s="181">
        <f>-K15/25</f>
        <v>-15.033358191674203</v>
      </c>
      <c r="K18" s="246" t="s">
        <v>184</v>
      </c>
      <c r="L18" s="247"/>
    </row>
    <row r="19" spans="2:12" ht="21" customHeight="1">
      <c r="J19" s="22" t="s">
        <v>183</v>
      </c>
    </row>
    <row r="20" spans="2:12" ht="16.2" thickBot="1">
      <c r="B20" s="126" t="s">
        <v>186</v>
      </c>
    </row>
    <row r="21" spans="2:12" ht="28.8" customHeight="1" thickTop="1" thickBot="1">
      <c r="B21" s="52" t="s">
        <v>165</v>
      </c>
      <c r="C21" s="244" t="s">
        <v>187</v>
      </c>
      <c r="D21" s="237"/>
      <c r="E21" s="237"/>
      <c r="F21" s="237"/>
      <c r="G21" s="237"/>
      <c r="H21" s="237"/>
      <c r="I21" s="237"/>
      <c r="J21" s="238"/>
      <c r="K21" s="10"/>
      <c r="L21" s="10"/>
    </row>
    <row r="22" spans="2:12" ht="31.2">
      <c r="B22" s="222" t="s">
        <v>15</v>
      </c>
      <c r="C22" s="221" t="s">
        <v>141</v>
      </c>
      <c r="D22" s="221" t="s">
        <v>16</v>
      </c>
      <c r="E22" s="221" t="s">
        <v>17</v>
      </c>
      <c r="F22" s="221" t="s">
        <v>18</v>
      </c>
      <c r="G22" s="221" t="s">
        <v>19</v>
      </c>
      <c r="H22" s="221" t="s">
        <v>20</v>
      </c>
      <c r="I22" s="221" t="s">
        <v>2</v>
      </c>
      <c r="J22" s="221" t="s">
        <v>3</v>
      </c>
    </row>
    <row r="23" spans="2:12" ht="34.200000000000003" customHeight="1">
      <c r="B23" s="252" t="s">
        <v>104</v>
      </c>
      <c r="C23" s="253"/>
      <c r="D23" s="140"/>
      <c r="E23" s="140"/>
      <c r="F23" s="140"/>
      <c r="G23" s="141"/>
      <c r="H23" s="141"/>
      <c r="I23" s="228">
        <f>SUM(I24:I37)</f>
        <v>164422204</v>
      </c>
      <c r="J23" s="228">
        <f>SUM(J24:J37)</f>
        <v>137346294</v>
      </c>
    </row>
    <row r="24" spans="2:12" ht="31.2">
      <c r="B24" s="142" t="s">
        <v>105</v>
      </c>
      <c r="C24" s="142"/>
      <c r="D24" s="143" t="s">
        <v>106</v>
      </c>
      <c r="E24" s="217">
        <f>4700-375</f>
        <v>4325</v>
      </c>
      <c r="F24" s="145" t="s">
        <v>21</v>
      </c>
      <c r="G24" s="79">
        <v>0</v>
      </c>
      <c r="H24" s="79">
        <v>2594</v>
      </c>
      <c r="I24" s="81">
        <f>E24*G24</f>
        <v>0</v>
      </c>
      <c r="J24" s="81">
        <f>E24*H24</f>
        <v>11219050</v>
      </c>
    </row>
    <row r="25" spans="2:12" ht="15.6">
      <c r="B25" s="142" t="s">
        <v>107</v>
      </c>
      <c r="C25" s="142"/>
      <c r="D25" s="143" t="s">
        <v>108</v>
      </c>
      <c r="E25" s="218">
        <f>1175-180</f>
        <v>995</v>
      </c>
      <c r="F25" s="143" t="s">
        <v>25</v>
      </c>
      <c r="G25" s="79">
        <v>0</v>
      </c>
      <c r="H25" s="79">
        <v>8645</v>
      </c>
      <c r="I25" s="81">
        <f t="shared" ref="I25:I36" si="1">E25*G25</f>
        <v>0</v>
      </c>
      <c r="J25" s="81">
        <f t="shared" ref="J25:J36" si="2">E25*H25</f>
        <v>8601775</v>
      </c>
    </row>
    <row r="26" spans="2:12" ht="15.6">
      <c r="B26" s="142" t="s">
        <v>109</v>
      </c>
      <c r="C26" s="142"/>
      <c r="D26" s="143" t="s">
        <v>110</v>
      </c>
      <c r="E26" s="218">
        <f>2475-100</f>
        <v>2375</v>
      </c>
      <c r="F26" s="143" t="s">
        <v>25</v>
      </c>
      <c r="G26" s="79">
        <v>0</v>
      </c>
      <c r="H26" s="79">
        <v>2394</v>
      </c>
      <c r="I26" s="81">
        <f t="shared" si="1"/>
        <v>0</v>
      </c>
      <c r="J26" s="81">
        <f t="shared" si="2"/>
        <v>5685750</v>
      </c>
    </row>
    <row r="27" spans="2:12" ht="15.6">
      <c r="B27" s="142" t="s">
        <v>111</v>
      </c>
      <c r="C27" s="142"/>
      <c r="D27" s="143" t="s">
        <v>112</v>
      </c>
      <c r="E27" s="219">
        <f>2475-130</f>
        <v>2345</v>
      </c>
      <c r="F27" s="143" t="s">
        <v>25</v>
      </c>
      <c r="G27" s="79">
        <v>0</v>
      </c>
      <c r="H27" s="79">
        <v>2660</v>
      </c>
      <c r="I27" s="81">
        <f t="shared" si="1"/>
        <v>0</v>
      </c>
      <c r="J27" s="81">
        <f t="shared" si="2"/>
        <v>6237700</v>
      </c>
    </row>
    <row r="28" spans="2:12" ht="15.6">
      <c r="B28" s="142" t="s">
        <v>113</v>
      </c>
      <c r="C28" s="142"/>
      <c r="D28" s="143" t="s">
        <v>114</v>
      </c>
      <c r="E28" s="219">
        <f>5005-375</f>
        <v>4630</v>
      </c>
      <c r="F28" s="143" t="s">
        <v>21</v>
      </c>
      <c r="G28" s="79">
        <v>0</v>
      </c>
      <c r="H28" s="79">
        <v>279</v>
      </c>
      <c r="I28" s="81">
        <f t="shared" si="1"/>
        <v>0</v>
      </c>
      <c r="J28" s="81">
        <f t="shared" si="2"/>
        <v>1291770</v>
      </c>
    </row>
    <row r="29" spans="2:12" ht="46.8">
      <c r="B29" s="66" t="s">
        <v>115</v>
      </c>
      <c r="C29" s="142"/>
      <c r="D29" s="76" t="s">
        <v>116</v>
      </c>
      <c r="E29" s="219">
        <f>5005-375</f>
        <v>4630</v>
      </c>
      <c r="F29" s="76" t="s">
        <v>21</v>
      </c>
      <c r="G29" s="79">
        <v>971</v>
      </c>
      <c r="H29" s="79">
        <v>379</v>
      </c>
      <c r="I29" s="80">
        <f t="shared" si="1"/>
        <v>4495730</v>
      </c>
      <c r="J29" s="81">
        <f t="shared" si="2"/>
        <v>1754770</v>
      </c>
    </row>
    <row r="30" spans="2:12" ht="15.6">
      <c r="B30" s="66" t="s">
        <v>117</v>
      </c>
      <c r="C30" s="142"/>
      <c r="D30" s="76" t="s">
        <v>118</v>
      </c>
      <c r="E30" s="219">
        <f>1251.25-120.25</f>
        <v>1131</v>
      </c>
      <c r="F30" s="150" t="s">
        <v>21</v>
      </c>
      <c r="G30" s="79">
        <v>0</v>
      </c>
      <c r="H30" s="79">
        <v>2328</v>
      </c>
      <c r="I30" s="80">
        <f t="shared" si="1"/>
        <v>0</v>
      </c>
      <c r="J30" s="81">
        <f t="shared" si="2"/>
        <v>2632968</v>
      </c>
    </row>
    <row r="31" spans="2:12" ht="15.6">
      <c r="B31" s="66" t="s">
        <v>119</v>
      </c>
      <c r="C31" s="142"/>
      <c r="D31" s="76" t="s">
        <v>120</v>
      </c>
      <c r="E31" s="219">
        <f>1251.25-120.25</f>
        <v>1131</v>
      </c>
      <c r="F31" s="76" t="s">
        <v>25</v>
      </c>
      <c r="G31" s="79">
        <v>32585</v>
      </c>
      <c r="H31" s="79">
        <v>8645</v>
      </c>
      <c r="I31" s="80">
        <f t="shared" si="1"/>
        <v>36853635</v>
      </c>
      <c r="J31" s="81">
        <f t="shared" si="2"/>
        <v>9777495</v>
      </c>
    </row>
    <row r="32" spans="2:12" ht="15.6">
      <c r="B32" s="66" t="s">
        <v>121</v>
      </c>
      <c r="C32" s="142"/>
      <c r="D32" s="76" t="s">
        <v>122</v>
      </c>
      <c r="E32" s="220">
        <f>4000-380</f>
        <v>3620</v>
      </c>
      <c r="F32" s="76" t="s">
        <v>45</v>
      </c>
      <c r="G32" s="79">
        <v>466</v>
      </c>
      <c r="H32" s="79">
        <v>1131</v>
      </c>
      <c r="I32" s="80">
        <f t="shared" si="1"/>
        <v>1686920</v>
      </c>
      <c r="J32" s="81">
        <f t="shared" si="2"/>
        <v>4094220</v>
      </c>
    </row>
    <row r="33" spans="2:11" ht="15.6">
      <c r="B33" s="66" t="s">
        <v>123</v>
      </c>
      <c r="C33" s="142"/>
      <c r="D33" s="76" t="s">
        <v>124</v>
      </c>
      <c r="E33" s="220">
        <f>4700-375</f>
        <v>4325</v>
      </c>
      <c r="F33" s="76" t="s">
        <v>21</v>
      </c>
      <c r="G33" s="79">
        <v>279</v>
      </c>
      <c r="H33" s="79">
        <v>113</v>
      </c>
      <c r="I33" s="80">
        <f t="shared" si="1"/>
        <v>1206675</v>
      </c>
      <c r="J33" s="81">
        <f t="shared" si="2"/>
        <v>488725</v>
      </c>
    </row>
    <row r="34" spans="2:11" ht="31.2">
      <c r="B34" s="66" t="s">
        <v>125</v>
      </c>
      <c r="C34" s="142"/>
      <c r="D34" s="76" t="s">
        <v>126</v>
      </c>
      <c r="E34" s="220">
        <f>1504-100</f>
        <v>1404</v>
      </c>
      <c r="F34" s="76" t="s">
        <v>25</v>
      </c>
      <c r="G34" s="79">
        <v>76475</v>
      </c>
      <c r="H34" s="79">
        <v>52535</v>
      </c>
      <c r="I34" s="80">
        <f t="shared" si="1"/>
        <v>107370900</v>
      </c>
      <c r="J34" s="81">
        <f t="shared" si="2"/>
        <v>73759140</v>
      </c>
    </row>
    <row r="35" spans="2:11" ht="15.6">
      <c r="B35" s="66" t="s">
        <v>73</v>
      </c>
      <c r="C35" s="142"/>
      <c r="D35" s="76" t="s">
        <v>74</v>
      </c>
      <c r="E35" s="220">
        <f>2425-240</f>
        <v>2185</v>
      </c>
      <c r="F35" s="78" t="s">
        <v>45</v>
      </c>
      <c r="G35" s="79">
        <v>2660</v>
      </c>
      <c r="H35" s="79">
        <v>3325</v>
      </c>
      <c r="I35" s="80">
        <f t="shared" si="1"/>
        <v>5812100</v>
      </c>
      <c r="J35" s="81">
        <f t="shared" si="2"/>
        <v>7265125</v>
      </c>
    </row>
    <row r="36" spans="2:11" ht="48" customHeight="1">
      <c r="B36" s="66" t="s">
        <v>127</v>
      </c>
      <c r="C36" s="142"/>
      <c r="D36" s="76" t="s">
        <v>128</v>
      </c>
      <c r="E36" s="220">
        <f>1374-220</f>
        <v>1154</v>
      </c>
      <c r="F36" s="76" t="s">
        <v>21</v>
      </c>
      <c r="G36" s="79">
        <v>2461</v>
      </c>
      <c r="H36" s="79">
        <v>3392</v>
      </c>
      <c r="I36" s="80">
        <f t="shared" si="1"/>
        <v>2839994</v>
      </c>
      <c r="J36" s="81">
        <f t="shared" si="2"/>
        <v>3914368</v>
      </c>
    </row>
    <row r="37" spans="2:11" ht="31.8" thickBot="1">
      <c r="B37" s="66" t="s">
        <v>75</v>
      </c>
      <c r="C37" s="142"/>
      <c r="D37" s="76" t="s">
        <v>76</v>
      </c>
      <c r="E37" s="151">
        <v>1</v>
      </c>
      <c r="F37" s="78" t="s">
        <v>77</v>
      </c>
      <c r="G37" s="79">
        <v>4156250</v>
      </c>
      <c r="H37" s="79">
        <f>623438</f>
        <v>623438</v>
      </c>
      <c r="I37" s="80">
        <f>E37*G37</f>
        <v>4156250</v>
      </c>
      <c r="J37" s="81">
        <f>E37*H37</f>
        <v>623438</v>
      </c>
    </row>
    <row r="38" spans="2:11" ht="16.2" thickBot="1">
      <c r="D38" s="155" t="s">
        <v>129</v>
      </c>
      <c r="E38" s="155"/>
      <c r="F38" s="155"/>
      <c r="G38" s="156"/>
      <c r="H38" s="156"/>
      <c r="I38" s="44">
        <f>SUM(I24:I37)</f>
        <v>164422204</v>
      </c>
      <c r="J38" s="44">
        <f>SUM(J24:J37)</f>
        <v>137346294</v>
      </c>
    </row>
    <row r="39" spans="2:11" ht="16.2" thickBot="1">
      <c r="D39" s="229"/>
      <c r="E39" s="229"/>
      <c r="F39" s="229"/>
      <c r="G39" s="230"/>
      <c r="H39" s="230"/>
      <c r="I39" s="211"/>
      <c r="J39" s="211"/>
    </row>
    <row r="40" spans="2:11" ht="16.2" thickBot="1">
      <c r="D40" s="130" t="s">
        <v>190</v>
      </c>
      <c r="E40" s="130"/>
      <c r="F40" s="130"/>
      <c r="G40" s="158"/>
      <c r="H40" s="158"/>
      <c r="I40" s="44">
        <f>I38-'2. GURULÓÚT alap költségvetés'!H21</f>
        <v>-13391496.25</v>
      </c>
      <c r="J40" s="44">
        <f>J38-'2. GURULÓÚT alap költségvetés'!I21</f>
        <v>-11950198.25</v>
      </c>
    </row>
    <row r="41" spans="2:11" ht="15.6">
      <c r="D41" s="130"/>
      <c r="E41" s="130"/>
      <c r="F41" s="130"/>
      <c r="G41" s="158"/>
      <c r="H41" s="158"/>
      <c r="I41" s="260">
        <f>I40+J40</f>
        <v>-25341694.5</v>
      </c>
      <c r="J41" s="260"/>
    </row>
    <row r="42" spans="2:11" ht="15.6">
      <c r="D42" s="130"/>
      <c r="E42" s="130"/>
      <c r="F42" s="130"/>
      <c r="G42" s="158"/>
      <c r="H42" s="158"/>
      <c r="I42" s="211"/>
      <c r="J42" s="211"/>
    </row>
    <row r="43" spans="2:11" ht="15.6">
      <c r="D43" s="133" t="s">
        <v>130</v>
      </c>
      <c r="E43" s="133"/>
      <c r="F43" s="133"/>
      <c r="G43" s="133"/>
      <c r="H43" s="133"/>
      <c r="I43" s="254">
        <f>SUM(I38,J38)</f>
        <v>301768498</v>
      </c>
      <c r="J43" s="254"/>
      <c r="K43" s="215"/>
    </row>
    <row r="45" spans="2:11">
      <c r="J45" s="214"/>
    </row>
  </sheetData>
  <mergeCells count="12">
    <mergeCell ref="I43:J43"/>
    <mergeCell ref="C21:J21"/>
    <mergeCell ref="C2:H2"/>
    <mergeCell ref="C3:H3"/>
    <mergeCell ref="G15:H15"/>
    <mergeCell ref="B18:D18"/>
    <mergeCell ref="I41:J41"/>
    <mergeCell ref="K18:L18"/>
    <mergeCell ref="I2:I3"/>
    <mergeCell ref="J2:J3"/>
    <mergeCell ref="K2:K3"/>
    <mergeCell ref="B23:C23"/>
  </mergeCells>
  <pageMargins left="0.43307086614173229" right="0.43307086614173229" top="0.55118110236220474" bottom="0.55118110236220474" header="0.31496062992125984" footer="0.31496062992125984"/>
  <pageSetup paperSize="9" scale="56" fitToHeight="0" orientation="portrait" r:id="rId1"/>
  <rowBreaks count="1" manualBreakCount="1">
    <brk id="19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64E48-36A9-4FC2-AA2E-B15450D75C0D}">
  <sheetPr>
    <tabColor theme="5"/>
    <pageSetUpPr fitToPage="1"/>
  </sheetPr>
  <dimension ref="B1:L34"/>
  <sheetViews>
    <sheetView view="pageBreakPreview" zoomScaleNormal="90" zoomScaleSheetLayoutView="100" workbookViewId="0">
      <selection activeCell="H24" sqref="H24:I24"/>
    </sheetView>
  </sheetViews>
  <sheetFormatPr defaultColWidth="11.44140625" defaultRowHeight="15.6"/>
  <cols>
    <col min="1" max="1" width="3" style="138" customWidth="1"/>
    <col min="2" max="2" width="9" style="138" customWidth="1"/>
    <col min="3" max="3" width="44.33203125" style="138" customWidth="1"/>
    <col min="4" max="4" width="10.33203125" style="138" bestFit="1" customWidth="1"/>
    <col min="5" max="5" width="7.109375" style="138" bestFit="1" customWidth="1"/>
    <col min="6" max="6" width="14.77734375" style="138" bestFit="1" customWidth="1"/>
    <col min="7" max="7" width="11.6640625" style="138" bestFit="1" customWidth="1"/>
    <col min="8" max="8" width="15.21875" style="138" bestFit="1" customWidth="1"/>
    <col min="9" max="9" width="12.109375" style="138" bestFit="1" customWidth="1"/>
    <col min="10" max="10" width="2.21875" style="138" customWidth="1"/>
    <col min="11" max="11" width="13.33203125" style="138" bestFit="1" customWidth="1"/>
    <col min="12" max="12" width="31.109375" style="138" customWidth="1"/>
    <col min="13" max="16384" width="11.44140625" style="138"/>
  </cols>
  <sheetData>
    <row r="1" spans="2:12" ht="18">
      <c r="B1" s="90" t="s">
        <v>79</v>
      </c>
    </row>
    <row r="3" spans="2:12" s="130" customFormat="1" ht="16.2" thickBot="1">
      <c r="B3" s="126" t="s">
        <v>185</v>
      </c>
      <c r="C3" s="127"/>
      <c r="D3" s="128"/>
      <c r="E3" s="128"/>
      <c r="F3" s="129"/>
      <c r="G3" s="129"/>
      <c r="H3" s="129"/>
      <c r="I3" s="129"/>
    </row>
    <row r="4" spans="2:12" s="130" customFormat="1" ht="16.2" thickTop="1">
      <c r="B4" s="131" t="s">
        <v>151</v>
      </c>
      <c r="C4" s="132"/>
      <c r="D4" s="133"/>
      <c r="E4" s="133"/>
      <c r="F4" s="134"/>
      <c r="G4" s="134"/>
      <c r="H4" s="134"/>
      <c r="I4" s="134"/>
    </row>
    <row r="5" spans="2:12">
      <c r="B5" s="135" t="s">
        <v>15</v>
      </c>
      <c r="C5" s="136" t="s">
        <v>16</v>
      </c>
      <c r="D5" s="136" t="s">
        <v>17</v>
      </c>
      <c r="E5" s="136" t="s">
        <v>18</v>
      </c>
      <c r="F5" s="137" t="s">
        <v>19</v>
      </c>
      <c r="G5" s="137" t="s">
        <v>20</v>
      </c>
      <c r="H5" s="137" t="s">
        <v>2</v>
      </c>
      <c r="I5" s="137" t="s">
        <v>3</v>
      </c>
      <c r="K5" s="139"/>
      <c r="L5" s="139"/>
    </row>
    <row r="6" spans="2:12" ht="15.6" customHeight="1">
      <c r="B6" s="213" t="s">
        <v>104</v>
      </c>
      <c r="C6" s="140"/>
      <c r="D6" s="140"/>
      <c r="E6" s="140"/>
      <c r="F6" s="141"/>
      <c r="G6" s="141"/>
      <c r="H6" s="141">
        <f>SUM(H7:H20)</f>
        <v>177813700.25</v>
      </c>
      <c r="I6" s="141">
        <f>SUM(I7:I20)</f>
        <v>149296492.25</v>
      </c>
    </row>
    <row r="7" spans="2:12" s="146" customFormat="1" ht="31.2">
      <c r="B7" s="142" t="s">
        <v>105</v>
      </c>
      <c r="C7" s="143" t="s">
        <v>106</v>
      </c>
      <c r="D7" s="144">
        <v>4700</v>
      </c>
      <c r="E7" s="145" t="s">
        <v>21</v>
      </c>
      <c r="F7" s="79">
        <v>0</v>
      </c>
      <c r="G7" s="79">
        <v>2594</v>
      </c>
      <c r="H7" s="81">
        <f>D7*F7</f>
        <v>0</v>
      </c>
      <c r="I7" s="81">
        <f>D7*G7</f>
        <v>12191800</v>
      </c>
      <c r="K7" s="79"/>
      <c r="L7" s="79"/>
    </row>
    <row r="8" spans="2:12" s="146" customFormat="1">
      <c r="B8" s="142" t="s">
        <v>107</v>
      </c>
      <c r="C8" s="143" t="s">
        <v>108</v>
      </c>
      <c r="D8" s="147">
        <v>1175</v>
      </c>
      <c r="E8" s="143" t="s">
        <v>25</v>
      </c>
      <c r="F8" s="79">
        <v>0</v>
      </c>
      <c r="G8" s="79">
        <v>8645</v>
      </c>
      <c r="H8" s="81">
        <f t="shared" ref="H8:H19" si="0">D8*F8</f>
        <v>0</v>
      </c>
      <c r="I8" s="81">
        <f t="shared" ref="I8:I19" si="1">D8*G8</f>
        <v>10157875</v>
      </c>
      <c r="K8" s="79"/>
      <c r="L8" s="79"/>
    </row>
    <row r="9" spans="2:12" s="146" customFormat="1" ht="32.25" customHeight="1">
      <c r="B9" s="142" t="s">
        <v>109</v>
      </c>
      <c r="C9" s="143" t="s">
        <v>110</v>
      </c>
      <c r="D9" s="147">
        <v>2475</v>
      </c>
      <c r="E9" s="143" t="s">
        <v>25</v>
      </c>
      <c r="F9" s="79">
        <v>0</v>
      </c>
      <c r="G9" s="79">
        <v>2394</v>
      </c>
      <c r="H9" s="81">
        <f t="shared" si="0"/>
        <v>0</v>
      </c>
      <c r="I9" s="81">
        <f t="shared" si="1"/>
        <v>5925150</v>
      </c>
      <c r="K9" s="79"/>
      <c r="L9" s="79"/>
    </row>
    <row r="10" spans="2:12" s="146" customFormat="1">
      <c r="B10" s="142" t="s">
        <v>111</v>
      </c>
      <c r="C10" s="143" t="s">
        <v>112</v>
      </c>
      <c r="D10" s="148">
        <v>2475</v>
      </c>
      <c r="E10" s="143" t="s">
        <v>25</v>
      </c>
      <c r="F10" s="79">
        <v>0</v>
      </c>
      <c r="G10" s="79">
        <v>2660</v>
      </c>
      <c r="H10" s="81">
        <f t="shared" si="0"/>
        <v>0</v>
      </c>
      <c r="I10" s="81">
        <f t="shared" si="1"/>
        <v>6583500</v>
      </c>
      <c r="K10" s="79"/>
      <c r="L10" s="79"/>
    </row>
    <row r="11" spans="2:12" s="146" customFormat="1">
      <c r="B11" s="142" t="s">
        <v>113</v>
      </c>
      <c r="C11" s="143" t="s">
        <v>114</v>
      </c>
      <c r="D11" s="148">
        <v>5005</v>
      </c>
      <c r="E11" s="143" t="s">
        <v>21</v>
      </c>
      <c r="F11" s="79">
        <v>0</v>
      </c>
      <c r="G11" s="79">
        <v>279</v>
      </c>
      <c r="H11" s="81">
        <f t="shared" si="0"/>
        <v>0</v>
      </c>
      <c r="I11" s="81">
        <f t="shared" si="1"/>
        <v>1396395</v>
      </c>
      <c r="K11" s="79"/>
      <c r="L11" s="79"/>
    </row>
    <row r="12" spans="2:12" ht="46.8">
      <c r="B12" s="66" t="s">
        <v>115</v>
      </c>
      <c r="C12" s="76" t="s">
        <v>116</v>
      </c>
      <c r="D12" s="149">
        <v>5005</v>
      </c>
      <c r="E12" s="76" t="s">
        <v>21</v>
      </c>
      <c r="F12" s="79">
        <v>971</v>
      </c>
      <c r="G12" s="79">
        <v>379</v>
      </c>
      <c r="H12" s="80">
        <f t="shared" si="0"/>
        <v>4859855</v>
      </c>
      <c r="I12" s="81">
        <f t="shared" si="1"/>
        <v>1896895</v>
      </c>
      <c r="K12" s="70"/>
      <c r="L12" s="79"/>
    </row>
    <row r="13" spans="2:12">
      <c r="B13" s="66" t="s">
        <v>117</v>
      </c>
      <c r="C13" s="76" t="s">
        <v>118</v>
      </c>
      <c r="D13" s="149">
        <v>1251.25</v>
      </c>
      <c r="E13" s="150" t="s">
        <v>21</v>
      </c>
      <c r="F13" s="79">
        <v>0</v>
      </c>
      <c r="G13" s="79">
        <v>2328</v>
      </c>
      <c r="H13" s="80">
        <f t="shared" si="0"/>
        <v>0</v>
      </c>
      <c r="I13" s="81">
        <f t="shared" si="1"/>
        <v>2912910</v>
      </c>
      <c r="K13" s="70"/>
      <c r="L13" s="79"/>
    </row>
    <row r="14" spans="2:12">
      <c r="B14" s="66" t="s">
        <v>119</v>
      </c>
      <c r="C14" s="76" t="s">
        <v>120</v>
      </c>
      <c r="D14" s="149">
        <v>1251.25</v>
      </c>
      <c r="E14" s="76" t="s">
        <v>25</v>
      </c>
      <c r="F14" s="79">
        <v>32585</v>
      </c>
      <c r="G14" s="79">
        <v>8645</v>
      </c>
      <c r="H14" s="80">
        <f t="shared" si="0"/>
        <v>40771981.25</v>
      </c>
      <c r="I14" s="81">
        <f t="shared" si="1"/>
        <v>10817056.25</v>
      </c>
      <c r="K14" s="70"/>
      <c r="L14" s="79"/>
    </row>
    <row r="15" spans="2:12">
      <c r="B15" s="66" t="s">
        <v>121</v>
      </c>
      <c r="C15" s="76" t="s">
        <v>122</v>
      </c>
      <c r="D15" s="151">
        <v>4000</v>
      </c>
      <c r="E15" s="76" t="s">
        <v>45</v>
      </c>
      <c r="F15" s="79">
        <v>466</v>
      </c>
      <c r="G15" s="79">
        <v>1131</v>
      </c>
      <c r="H15" s="80">
        <f t="shared" si="0"/>
        <v>1864000</v>
      </c>
      <c r="I15" s="81">
        <f t="shared" si="1"/>
        <v>4524000</v>
      </c>
      <c r="K15" s="70"/>
      <c r="L15" s="79"/>
    </row>
    <row r="16" spans="2:12">
      <c r="B16" s="66" t="s">
        <v>123</v>
      </c>
      <c r="C16" s="76" t="s">
        <v>124</v>
      </c>
      <c r="D16" s="151">
        <v>4700</v>
      </c>
      <c r="E16" s="76" t="s">
        <v>21</v>
      </c>
      <c r="F16" s="79">
        <v>279</v>
      </c>
      <c r="G16" s="79">
        <v>113</v>
      </c>
      <c r="H16" s="80">
        <f t="shared" si="0"/>
        <v>1311300</v>
      </c>
      <c r="I16" s="81">
        <f t="shared" si="1"/>
        <v>531100</v>
      </c>
      <c r="K16" s="70"/>
      <c r="L16" s="79"/>
    </row>
    <row r="17" spans="2:12" ht="31.2">
      <c r="B17" s="66" t="s">
        <v>125</v>
      </c>
      <c r="C17" s="76" t="s">
        <v>126</v>
      </c>
      <c r="D17" s="151">
        <v>1504</v>
      </c>
      <c r="E17" s="76" t="s">
        <v>25</v>
      </c>
      <c r="F17" s="79">
        <v>76475</v>
      </c>
      <c r="G17" s="79">
        <v>52535</v>
      </c>
      <c r="H17" s="80">
        <f t="shared" si="0"/>
        <v>115018400</v>
      </c>
      <c r="I17" s="81">
        <f t="shared" si="1"/>
        <v>79012640</v>
      </c>
      <c r="K17" s="70"/>
      <c r="L17" s="79"/>
    </row>
    <row r="18" spans="2:12">
      <c r="B18" s="66" t="s">
        <v>73</v>
      </c>
      <c r="C18" s="76" t="s">
        <v>74</v>
      </c>
      <c r="D18" s="151">
        <v>2425</v>
      </c>
      <c r="E18" s="78" t="s">
        <v>45</v>
      </c>
      <c r="F18" s="79">
        <v>2660</v>
      </c>
      <c r="G18" s="79">
        <v>3325</v>
      </c>
      <c r="H18" s="80">
        <f t="shared" si="0"/>
        <v>6450500</v>
      </c>
      <c r="I18" s="81">
        <f t="shared" si="1"/>
        <v>8063125</v>
      </c>
      <c r="K18" s="70"/>
      <c r="L18" s="79"/>
    </row>
    <row r="19" spans="2:12" ht="62.4">
      <c r="B19" s="66" t="s">
        <v>127</v>
      </c>
      <c r="C19" s="76" t="s">
        <v>128</v>
      </c>
      <c r="D19" s="151">
        <v>1374</v>
      </c>
      <c r="E19" s="76" t="s">
        <v>21</v>
      </c>
      <c r="F19" s="79">
        <v>2461</v>
      </c>
      <c r="G19" s="79">
        <v>3392</v>
      </c>
      <c r="H19" s="80">
        <f t="shared" si="0"/>
        <v>3381414</v>
      </c>
      <c r="I19" s="81">
        <f t="shared" si="1"/>
        <v>4660608</v>
      </c>
      <c r="K19" s="70"/>
      <c r="L19" s="79"/>
    </row>
    <row r="20" spans="2:12" ht="31.2">
      <c r="B20" s="66" t="s">
        <v>75</v>
      </c>
      <c r="C20" s="76" t="s">
        <v>76</v>
      </c>
      <c r="D20" s="151">
        <v>1</v>
      </c>
      <c r="E20" s="78" t="s">
        <v>77</v>
      </c>
      <c r="F20" s="79">
        <v>4156250</v>
      </c>
      <c r="G20" s="79">
        <v>623438</v>
      </c>
      <c r="H20" s="80">
        <f>D20*F20</f>
        <v>4156250</v>
      </c>
      <c r="I20" s="81">
        <f>D20*G20</f>
        <v>623438</v>
      </c>
      <c r="K20" s="70"/>
      <c r="L20" s="79"/>
    </row>
    <row r="21" spans="2:12">
      <c r="B21" s="154"/>
      <c r="C21" s="155" t="s">
        <v>129</v>
      </c>
      <c r="D21" s="155"/>
      <c r="E21" s="155"/>
      <c r="F21" s="156"/>
      <c r="G21" s="156"/>
      <c r="H21" s="156">
        <f>SUM(H7:H20)</f>
        <v>177813700.25</v>
      </c>
      <c r="I21" s="156">
        <f>SUM(I7:I20)</f>
        <v>149296492.25</v>
      </c>
      <c r="K21" s="157"/>
      <c r="L21" s="79"/>
    </row>
    <row r="22" spans="2:12">
      <c r="B22" s="66"/>
      <c r="C22" s="130"/>
      <c r="D22" s="130"/>
      <c r="E22" s="130"/>
      <c r="F22" s="158"/>
      <c r="G22" s="158"/>
      <c r="H22" s="158"/>
      <c r="I22" s="158"/>
    </row>
    <row r="23" spans="2:12">
      <c r="B23" s="159"/>
      <c r="C23" s="133" t="s">
        <v>130</v>
      </c>
      <c r="D23" s="133"/>
      <c r="E23" s="133"/>
      <c r="F23" s="133"/>
      <c r="G23" s="133"/>
      <c r="H23" s="254">
        <f>SUM(H21,I21)</f>
        <v>327110192.5</v>
      </c>
      <c r="I23" s="254"/>
      <c r="K23" s="254"/>
      <c r="L23" s="254"/>
    </row>
    <row r="24" spans="2:12">
      <c r="B24" s="159"/>
      <c r="C24" s="133" t="s">
        <v>153</v>
      </c>
      <c r="D24" s="144">
        <v>4700</v>
      </c>
      <c r="E24" s="145" t="s">
        <v>21</v>
      </c>
      <c r="F24" s="133"/>
      <c r="G24" s="134" t="s">
        <v>152</v>
      </c>
      <c r="H24" s="261">
        <f>H23/D24</f>
        <v>69597.913297872336</v>
      </c>
      <c r="I24" s="262"/>
    </row>
    <row r="25" spans="2:12">
      <c r="B25" s="159"/>
      <c r="C25" s="159"/>
      <c r="D25" s="159"/>
      <c r="E25" s="159"/>
      <c r="F25" s="159"/>
      <c r="G25" s="159"/>
      <c r="H25" s="159"/>
      <c r="I25" s="159"/>
      <c r="J25" s="159"/>
      <c r="K25" s="159"/>
    </row>
    <row r="26" spans="2:12">
      <c r="B26" s="159"/>
      <c r="C26" s="160"/>
      <c r="D26" s="152"/>
      <c r="E26" s="152"/>
      <c r="F26" s="153"/>
      <c r="G26" s="161"/>
      <c r="H26" s="153"/>
    </row>
    <row r="27" spans="2:12">
      <c r="B27" s="159"/>
      <c r="C27" s="160"/>
      <c r="D27" s="152"/>
      <c r="E27" s="152"/>
      <c r="F27" s="160"/>
      <c r="G27" s="161"/>
      <c r="H27" s="153"/>
    </row>
    <row r="28" spans="2:12">
      <c r="B28" s="159"/>
      <c r="C28" s="160"/>
      <c r="D28" s="152"/>
      <c r="E28" s="152"/>
      <c r="F28" s="153"/>
      <c r="G28" s="161"/>
      <c r="H28" s="153"/>
    </row>
    <row r="29" spans="2:12">
      <c r="B29" s="159"/>
      <c r="C29" s="160"/>
      <c r="D29" s="152"/>
      <c r="E29" s="152"/>
      <c r="F29" s="160"/>
      <c r="G29" s="161"/>
      <c r="H29" s="153"/>
    </row>
    <row r="30" spans="2:12">
      <c r="B30" s="159"/>
      <c r="C30" s="160"/>
      <c r="D30" s="152"/>
      <c r="E30" s="152"/>
      <c r="F30" s="153"/>
      <c r="G30" s="161"/>
      <c r="H30" s="153"/>
    </row>
    <row r="31" spans="2:12">
      <c r="B31" s="159"/>
      <c r="C31" s="160"/>
      <c r="D31" s="152"/>
      <c r="E31" s="152"/>
      <c r="F31" s="160"/>
      <c r="G31" s="161"/>
      <c r="H31" s="153"/>
    </row>
    <row r="32" spans="2:12">
      <c r="B32" s="159"/>
      <c r="C32" s="160"/>
      <c r="D32" s="152"/>
      <c r="E32" s="152"/>
      <c r="F32" s="153"/>
      <c r="G32" s="161"/>
      <c r="H32" s="153"/>
    </row>
    <row r="33" spans="2:8">
      <c r="B33" s="159"/>
      <c r="C33" s="160"/>
      <c r="D33" s="152"/>
      <c r="E33" s="152"/>
      <c r="F33" s="160"/>
      <c r="G33" s="161"/>
      <c r="H33" s="153"/>
    </row>
    <row r="34" spans="2:8">
      <c r="B34" s="159"/>
      <c r="C34" s="160"/>
      <c r="D34" s="152"/>
      <c r="E34" s="152"/>
      <c r="F34" s="153"/>
      <c r="G34" s="161"/>
      <c r="H34" s="153"/>
    </row>
  </sheetData>
  <mergeCells count="3">
    <mergeCell ref="H23:I23"/>
    <mergeCell ref="K23:L23"/>
    <mergeCell ref="H24:I24"/>
  </mergeCells>
  <pageMargins left="0.51181102362204722" right="0.51181102362204722" top="0.74803149606299213" bottom="0.74803149606299213" header="0.31496062992125984" footer="0.31496062992125984"/>
  <pageSetup paperSize="9" scale="71" fitToHeight="0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4</vt:i4>
      </vt:variant>
    </vt:vector>
  </HeadingPairs>
  <TitlesOfParts>
    <vt:vector size="8" baseType="lpstr">
      <vt:lpstr>Összesítő</vt:lpstr>
      <vt:lpstr>VI. Futópálya kiegészítő mu</vt:lpstr>
      <vt:lpstr>VII. Futópálya amortizáció</vt:lpstr>
      <vt:lpstr>2. GURULÓÚT alap költségvetés</vt:lpstr>
      <vt:lpstr>'2. GURULÓÚT alap költségvetés'!Nyomtatási_terület</vt:lpstr>
      <vt:lpstr>Összesítő!Nyomtatási_terület</vt:lpstr>
      <vt:lpstr>'VI. Futópálya kiegészítő mu'!Nyomtatási_terület</vt:lpstr>
      <vt:lpstr>'VII. Futópálya amortizáció'!Nyomtatási_terület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Friedrich Ivett Éva</dc:creator>
  <cp:lastModifiedBy>Csépe Barnabás</cp:lastModifiedBy>
  <cp:lastPrinted>2025-05-07T12:18:05Z</cp:lastPrinted>
  <dcterms:created xsi:type="dcterms:W3CDTF">2024-11-13T09:14:46Z</dcterms:created>
  <dcterms:modified xsi:type="dcterms:W3CDTF">2025-07-16T13:58:54Z</dcterms:modified>
</cp:coreProperties>
</file>